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 windowWidth="13380" windowHeight="8835" tabRatio="801"/>
  </bookViews>
  <sheets>
    <sheet name="Introduction" sheetId="28" r:id="rId1"/>
    <sheet name="Summary Document" sheetId="27" r:id="rId2"/>
    <sheet name="Site listing" sheetId="8" r:id="rId3"/>
    <sheet name="Summary by Property" sheetId="9" state="veryHidden" r:id="rId4"/>
    <sheet name="Tenant Percentages" sheetId="10" state="veryHidden" r:id="rId5"/>
    <sheet name="Properties List" sheetId="2" state="veryHidden" r:id="rId6"/>
    <sheet name="Electricity Lookup" sheetId="3" state="veryHidden" r:id="rId7"/>
    <sheet name="Gas Lookup" sheetId="7" state="veryHidden" r:id="rId8"/>
    <sheet name="Water Lookup" sheetId="12" state="veryHidden" r:id="rId9"/>
    <sheet name="Waste Cost" sheetId="17" state="veryHidden" r:id="rId10"/>
    <sheet name="Waste Weight" sheetId="18" state="veryHidden" r:id="rId11"/>
    <sheet name="Waste Lookups" sheetId="19" state="veryHidden" r:id="rId12"/>
  </sheets>
  <definedNames>
    <definedName name="ElecSet">#REF!</definedName>
    <definedName name="GasSet">#REF!</definedName>
    <definedName name="_xlnm.Print_Area" localSheetId="3">'Summary by Property'!$B$64:$I$114</definedName>
    <definedName name="PropertyDropdown">'Site listing'!$C$4:INDEX('Site listing'!$C:$C,MATCH("*",'Site listing'!$C:$C,-1),1)</definedName>
    <definedName name="SiteList">#REF!</definedName>
    <definedName name="TenancyCCs">#REF!</definedName>
    <definedName name="TenantsDropdown">#REF!:INDEX(#REF!,MATCH("*",#REF!,-1),1)</definedName>
    <definedName name="WaterWasteSet">#REF!</definedName>
  </definedNames>
  <calcPr calcId="145621" calcMode="autoNoTable"/>
</workbook>
</file>

<file path=xl/calcChain.xml><?xml version="1.0" encoding="utf-8"?>
<calcChain xmlns="http://schemas.openxmlformats.org/spreadsheetml/2006/main">
  <c r="I126" i="27" l="1"/>
  <c r="H126" i="27"/>
  <c r="G126" i="27"/>
  <c r="I123" i="27"/>
  <c r="H123" i="27"/>
  <c r="G123" i="27"/>
  <c r="I121" i="27"/>
  <c r="H121" i="27"/>
  <c r="G121" i="27"/>
  <c r="I119" i="27"/>
  <c r="H119" i="27"/>
  <c r="G119" i="27"/>
  <c r="I117" i="27"/>
  <c r="H117" i="27"/>
  <c r="G117" i="27"/>
  <c r="I112" i="27"/>
  <c r="H112" i="27"/>
  <c r="G112" i="27"/>
  <c r="I108" i="27"/>
  <c r="H108" i="27"/>
  <c r="G108" i="27"/>
  <c r="I106" i="27"/>
  <c r="H106" i="27"/>
  <c r="G106" i="27"/>
  <c r="I103" i="27"/>
  <c r="H103" i="27"/>
  <c r="G103" i="27"/>
  <c r="I101" i="27"/>
  <c r="H101" i="27"/>
  <c r="G101" i="27"/>
  <c r="H98" i="27"/>
  <c r="G98" i="27"/>
  <c r="I97" i="27"/>
  <c r="I96" i="27"/>
  <c r="I95" i="27"/>
  <c r="H95" i="27"/>
  <c r="G95" i="27"/>
  <c r="D44" i="27"/>
  <c r="H39" i="27" l="1"/>
  <c r="D7" i="27"/>
  <c r="I17" i="27"/>
  <c r="C31" i="27"/>
  <c r="D35" i="27"/>
  <c r="G31" i="27"/>
  <c r="G35" i="27"/>
  <c r="I37" i="27"/>
  <c r="H7" i="27"/>
  <c r="D20" i="27"/>
  <c r="D31" i="27"/>
  <c r="C37" i="27"/>
  <c r="H31" i="27"/>
  <c r="I35" i="27"/>
  <c r="E47" i="27"/>
  <c r="H5" i="27"/>
  <c r="E20" i="27"/>
  <c r="D33" i="27"/>
  <c r="E37" i="27"/>
  <c r="I31" i="27"/>
  <c r="H37" i="27"/>
  <c r="I16" i="27"/>
  <c r="I20" i="27"/>
  <c r="I63" i="27" s="1"/>
  <c r="E33" i="27"/>
  <c r="C39" i="27"/>
  <c r="I33" i="27"/>
  <c r="G39" i="27"/>
  <c r="G81" i="27" s="1"/>
  <c r="I98" i="27"/>
  <c r="H6" i="27"/>
  <c r="E17" i="27"/>
  <c r="G20" i="27"/>
  <c r="C33" i="27"/>
  <c r="E35" i="27"/>
  <c r="D39" i="27"/>
  <c r="H33" i="27"/>
  <c r="G37" i="27"/>
  <c r="I39" i="27"/>
  <c r="D5" i="27"/>
  <c r="E16" i="27"/>
  <c r="C20" i="27"/>
  <c r="H20" i="27"/>
  <c r="E31" i="27"/>
  <c r="C35" i="27"/>
  <c r="D37" i="27"/>
  <c r="E39" i="27"/>
  <c r="G33" i="27"/>
  <c r="H35" i="27"/>
  <c r="H80" i="27" l="1"/>
  <c r="H82" i="27" s="1"/>
  <c r="I80" i="27"/>
  <c r="I81" i="27"/>
  <c r="H81" i="27"/>
  <c r="H77" i="27"/>
  <c r="H79" i="27" s="1"/>
  <c r="G62" i="27"/>
  <c r="G64" i="27" s="1"/>
  <c r="G78" i="27"/>
  <c r="G71" i="27"/>
  <c r="G73" i="27" s="1"/>
  <c r="I71" i="27"/>
  <c r="I73" i="27" s="1"/>
  <c r="I69" i="27"/>
  <c r="G77" i="27"/>
  <c r="G79" i="27" s="1"/>
  <c r="I78" i="27"/>
  <c r="G68" i="27"/>
  <c r="G70" i="27" s="1"/>
  <c r="I77" i="27"/>
  <c r="I79" i="27" s="1"/>
  <c r="H63" i="27"/>
  <c r="I74" i="27"/>
  <c r="I76" i="27" s="1"/>
  <c r="H75" i="27"/>
  <c r="G74" i="27"/>
  <c r="G76" i="27" s="1"/>
  <c r="I50" i="27"/>
  <c r="I52" i="27" s="1"/>
  <c r="H72" i="27"/>
  <c r="G63" i="27"/>
  <c r="I72" i="27"/>
  <c r="I51" i="27"/>
  <c r="H71" i="27"/>
  <c r="H73" i="27" s="1"/>
  <c r="I75" i="27"/>
  <c r="G72" i="27"/>
  <c r="I68" i="27"/>
  <c r="I70" i="27" s="1"/>
  <c r="I56" i="27"/>
  <c r="I58" i="27" s="1"/>
  <c r="G80" i="27"/>
  <c r="G82" i="27" s="1"/>
  <c r="H78" i="27"/>
  <c r="I62" i="27"/>
  <c r="I64" i="27" s="1"/>
  <c r="H69" i="27"/>
  <c r="H74" i="27"/>
  <c r="H76" i="27" s="1"/>
  <c r="I82" i="27"/>
  <c r="H68" i="27"/>
  <c r="H70" i="27" s="1"/>
  <c r="G75" i="27"/>
  <c r="I57" i="27"/>
  <c r="H62" i="27"/>
  <c r="H64" i="27" s="1"/>
  <c r="G69" i="27"/>
  <c r="B50" i="28" l="1"/>
  <c r="A1838" i="18" l="1"/>
  <c r="A1837" i="18"/>
  <c r="A1836" i="18"/>
  <c r="A1835" i="18"/>
  <c r="A1834" i="18"/>
  <c r="A1833" i="18"/>
  <c r="A1832" i="18"/>
  <c r="A1831" i="18"/>
  <c r="A1830" i="18"/>
  <c r="A1829" i="18"/>
  <c r="A1828" i="18"/>
  <c r="A1827" i="18"/>
  <c r="A1826" i="18"/>
  <c r="A1825" i="18"/>
  <c r="A1824" i="18"/>
  <c r="A1823" i="18"/>
  <c r="A1822" i="18"/>
  <c r="A1821" i="18"/>
  <c r="A1820" i="18"/>
  <c r="A1819" i="18"/>
  <c r="A1818" i="18"/>
  <c r="A1817" i="18"/>
  <c r="A1816" i="18"/>
  <c r="A1815" i="18"/>
  <c r="A1814" i="18"/>
  <c r="A1813" i="18"/>
  <c r="A1812" i="18"/>
  <c r="A1811" i="18"/>
  <c r="A1810" i="18"/>
  <c r="A1809" i="18"/>
  <c r="A1808" i="18"/>
  <c r="A1807" i="18"/>
  <c r="A1806" i="18"/>
  <c r="A1805" i="18"/>
  <c r="A1804" i="18"/>
  <c r="A1803" i="18"/>
  <c r="A1802" i="18"/>
  <c r="A1801" i="18"/>
  <c r="A1800" i="18"/>
  <c r="A1799" i="18"/>
  <c r="A1798" i="18"/>
  <c r="A1797" i="18"/>
  <c r="A1796" i="18"/>
  <c r="A1795" i="18"/>
  <c r="A1794" i="18"/>
  <c r="A1793" i="18"/>
  <c r="A1792" i="18"/>
  <c r="A1791" i="18"/>
  <c r="A1790" i="18"/>
  <c r="A1789" i="18"/>
  <c r="A1788" i="18"/>
  <c r="A1787" i="18"/>
  <c r="A1786" i="18"/>
  <c r="A1785" i="18"/>
  <c r="A1784" i="18"/>
  <c r="A1783" i="18"/>
  <c r="A1782" i="18"/>
  <c r="A1781" i="18"/>
  <c r="A1780" i="18"/>
  <c r="A1779" i="18"/>
  <c r="A1778" i="18"/>
  <c r="A1777" i="18"/>
  <c r="A1776" i="18"/>
  <c r="A1775" i="18"/>
  <c r="A1774" i="18"/>
  <c r="A1773" i="18"/>
  <c r="A1772" i="18"/>
  <c r="A1771" i="18"/>
  <c r="A1770" i="18"/>
  <c r="A1769" i="18"/>
  <c r="A1768" i="18"/>
  <c r="A1767" i="18"/>
  <c r="A1766" i="18"/>
  <c r="A1765" i="18"/>
  <c r="A1764" i="18"/>
  <c r="A1763" i="18"/>
  <c r="A1762" i="18"/>
  <c r="A1761" i="18"/>
  <c r="A1760" i="18"/>
  <c r="A1759" i="18"/>
  <c r="A1758" i="18"/>
  <c r="A1757" i="18"/>
  <c r="A1756" i="18"/>
  <c r="A1755" i="18"/>
  <c r="A1754" i="18"/>
  <c r="A1753" i="18"/>
  <c r="A1752" i="18"/>
  <c r="A1751" i="18"/>
  <c r="A1750" i="18"/>
  <c r="A1749" i="18"/>
  <c r="A1748" i="18"/>
  <c r="A1747" i="18"/>
  <c r="A1746" i="18"/>
  <c r="A1745" i="18"/>
  <c r="A1744" i="18"/>
  <c r="A1743" i="18"/>
  <c r="A1742" i="18"/>
  <c r="A1741" i="18"/>
  <c r="A1740" i="18"/>
  <c r="A1739" i="18"/>
  <c r="A1738" i="18"/>
  <c r="A1737" i="18"/>
  <c r="A1736" i="18"/>
  <c r="A1735" i="18"/>
  <c r="A1734" i="18"/>
  <c r="A1733" i="18"/>
  <c r="A1732" i="18"/>
  <c r="A1731" i="18"/>
  <c r="A1730" i="18"/>
  <c r="A1729" i="18"/>
  <c r="A1728" i="18"/>
  <c r="A1727" i="18"/>
  <c r="A1726" i="18"/>
  <c r="A1725" i="18"/>
  <c r="A1724" i="18"/>
  <c r="A1723" i="18"/>
  <c r="A1722" i="18"/>
  <c r="A1721" i="18"/>
  <c r="A1720" i="18"/>
  <c r="A1719" i="18"/>
  <c r="A1718" i="18"/>
  <c r="A1717" i="18"/>
  <c r="A1716" i="18"/>
  <c r="A1715" i="18"/>
  <c r="A1714" i="18"/>
  <c r="A1713" i="18"/>
  <c r="A1712" i="18"/>
  <c r="A1711" i="18"/>
  <c r="A1710" i="18"/>
  <c r="A1709" i="18"/>
  <c r="A1708" i="18"/>
  <c r="A1707" i="18"/>
  <c r="A1706" i="18"/>
  <c r="A1705" i="18"/>
  <c r="A1704" i="18"/>
  <c r="A1703" i="18"/>
  <c r="A1702" i="18"/>
  <c r="A1701" i="18"/>
  <c r="A1700" i="18"/>
  <c r="A1699" i="18"/>
  <c r="A1698" i="18"/>
  <c r="A1697" i="18"/>
  <c r="A1696" i="18"/>
  <c r="A1695" i="18"/>
  <c r="A1694" i="18"/>
  <c r="A1693" i="18"/>
  <c r="A1692" i="18"/>
  <c r="A1691" i="18"/>
  <c r="A1690" i="18"/>
  <c r="A1689" i="18"/>
  <c r="A1688" i="18"/>
  <c r="A1687" i="18"/>
  <c r="A1686" i="18"/>
  <c r="A1685" i="18"/>
  <c r="A1684" i="18"/>
  <c r="A1683" i="18"/>
  <c r="A1682" i="18"/>
  <c r="A1681" i="18"/>
  <c r="A1680" i="18"/>
  <c r="A1679" i="18"/>
  <c r="A1678" i="18"/>
  <c r="A1677" i="18"/>
  <c r="A1676" i="18"/>
  <c r="A1675" i="18"/>
  <c r="A1674" i="18"/>
  <c r="A1673" i="18"/>
  <c r="A1672" i="18"/>
  <c r="A1671" i="18"/>
  <c r="A1670" i="18"/>
  <c r="A1669" i="18"/>
  <c r="A1668" i="18"/>
  <c r="A1667" i="18"/>
  <c r="A1666" i="18"/>
  <c r="A1665" i="18"/>
  <c r="A1664" i="18"/>
  <c r="A1663" i="18"/>
  <c r="A1662" i="18"/>
  <c r="A1661" i="18"/>
  <c r="A1660" i="18"/>
  <c r="A1659" i="18"/>
  <c r="A1658" i="18"/>
  <c r="A1657" i="18"/>
  <c r="A1656" i="18"/>
  <c r="A1655" i="18"/>
  <c r="A1654" i="18"/>
  <c r="A1653" i="18"/>
  <c r="A1652" i="18"/>
  <c r="A1651" i="18"/>
  <c r="A1650" i="18"/>
  <c r="A1649" i="18"/>
  <c r="A1648" i="18"/>
  <c r="A1647" i="18"/>
  <c r="A1646" i="18"/>
  <c r="A1645" i="18"/>
  <c r="A1644" i="18"/>
  <c r="A1643" i="18"/>
  <c r="A1642" i="18"/>
  <c r="A1641" i="18"/>
  <c r="A1640" i="18"/>
  <c r="A1639" i="18"/>
  <c r="A1638" i="18"/>
  <c r="A1637" i="18"/>
  <c r="A1636" i="18"/>
  <c r="A1635" i="18"/>
  <c r="A1634" i="18"/>
  <c r="A1633" i="18"/>
  <c r="A1632" i="18"/>
  <c r="A1631" i="18"/>
  <c r="A1630" i="18"/>
  <c r="A1629" i="18"/>
  <c r="A1628" i="18"/>
  <c r="A1627" i="18"/>
  <c r="A1626" i="18"/>
  <c r="A1625" i="18"/>
  <c r="A1624" i="18"/>
  <c r="A1623" i="18"/>
  <c r="A1622" i="18"/>
  <c r="A1621" i="18"/>
  <c r="A1620" i="18"/>
  <c r="A1619" i="18"/>
  <c r="A1618" i="18"/>
  <c r="A1617" i="18"/>
  <c r="A1616" i="18"/>
  <c r="A1615" i="18"/>
  <c r="A1614" i="18"/>
  <c r="A1613" i="18"/>
  <c r="A1612" i="18"/>
  <c r="A1611" i="18"/>
  <c r="A1610" i="18"/>
  <c r="A1609" i="18"/>
  <c r="A1608" i="18"/>
  <c r="A1607" i="18"/>
  <c r="A1606" i="18"/>
  <c r="A1605" i="18"/>
  <c r="A1604" i="18"/>
  <c r="A1603" i="18"/>
  <c r="A1602" i="18"/>
  <c r="A1601" i="18"/>
  <c r="A1600" i="18"/>
  <c r="A1599" i="18"/>
  <c r="A1598" i="18"/>
  <c r="A1597" i="18"/>
  <c r="A1596" i="18"/>
  <c r="A1595" i="18"/>
  <c r="A1594" i="18"/>
  <c r="A1593" i="18"/>
  <c r="A1592" i="18"/>
  <c r="A1591" i="18"/>
  <c r="A1590" i="18"/>
  <c r="A1589" i="18"/>
  <c r="A1588" i="18"/>
  <c r="A1587" i="18"/>
  <c r="A1586" i="18"/>
  <c r="A1585" i="18"/>
  <c r="A1584" i="18"/>
  <c r="A1583" i="18"/>
  <c r="A1582" i="18"/>
  <c r="A1581" i="18"/>
  <c r="A1580" i="18"/>
  <c r="A1579" i="18"/>
  <c r="A1578" i="18"/>
  <c r="A1577" i="18"/>
  <c r="A1576" i="18"/>
  <c r="A1575" i="18"/>
  <c r="A1574" i="18"/>
  <c r="A1573" i="18"/>
  <c r="A1572" i="18"/>
  <c r="A1571" i="18"/>
  <c r="A1570" i="18"/>
  <c r="A1569" i="18"/>
  <c r="A1568" i="18"/>
  <c r="A1567" i="18"/>
  <c r="A1566" i="18"/>
  <c r="A1565" i="18"/>
  <c r="A1564" i="18"/>
  <c r="A1563" i="18"/>
  <c r="A1562" i="18"/>
  <c r="A1561" i="18"/>
  <c r="A1560" i="18"/>
  <c r="A1559" i="18"/>
  <c r="A1558" i="18"/>
  <c r="A1557" i="18"/>
  <c r="A1556" i="18"/>
  <c r="A1555" i="18"/>
  <c r="A1554" i="18"/>
  <c r="A1553" i="18"/>
  <c r="A1552" i="18"/>
  <c r="A1551" i="18"/>
  <c r="A1550" i="18"/>
  <c r="A1549" i="18"/>
  <c r="A1548" i="18"/>
  <c r="A1547" i="18"/>
  <c r="A1546" i="18"/>
  <c r="A1545" i="18"/>
  <c r="A1544" i="18"/>
  <c r="A1543" i="18"/>
  <c r="A1542" i="18"/>
  <c r="A1541" i="18"/>
  <c r="A1540" i="18"/>
  <c r="A1539" i="18"/>
  <c r="A1538" i="18"/>
  <c r="A1537" i="18"/>
  <c r="A1536" i="18"/>
  <c r="A1535" i="18"/>
  <c r="A1534" i="18"/>
  <c r="A1533" i="18"/>
  <c r="A1532" i="18"/>
  <c r="A1531" i="18"/>
  <c r="A1530" i="18"/>
  <c r="A1529" i="18"/>
  <c r="A1528" i="18"/>
  <c r="A1527" i="18"/>
  <c r="A1526" i="18"/>
  <c r="A1525" i="18"/>
  <c r="A1524" i="18"/>
  <c r="A1523" i="18"/>
  <c r="A1522" i="18"/>
  <c r="A1521" i="18"/>
  <c r="A1520" i="18"/>
  <c r="A1519" i="18"/>
  <c r="A1518" i="18"/>
  <c r="A1517" i="18"/>
  <c r="A1516" i="18"/>
  <c r="A1515" i="18"/>
  <c r="A1514" i="18"/>
  <c r="A1513" i="18"/>
  <c r="A1512" i="18"/>
  <c r="A1511" i="18"/>
  <c r="A1510" i="18"/>
  <c r="A1509" i="18"/>
  <c r="A1508" i="18"/>
  <c r="A1507" i="18"/>
  <c r="A1506" i="18"/>
  <c r="A1505" i="18"/>
  <c r="A1504" i="18"/>
  <c r="A1503" i="18"/>
  <c r="A1502" i="18"/>
  <c r="A1501" i="18"/>
  <c r="A1500" i="18"/>
  <c r="A1499" i="18"/>
  <c r="A1498" i="18"/>
  <c r="A1497" i="18"/>
  <c r="A1496" i="18"/>
  <c r="A1495" i="18"/>
  <c r="A1494" i="18"/>
  <c r="A1493" i="18"/>
  <c r="A1492" i="18"/>
  <c r="A1491" i="18"/>
  <c r="A1490" i="18"/>
  <c r="A1489" i="18"/>
  <c r="A1488" i="18"/>
  <c r="A1487" i="18"/>
  <c r="A1486" i="18"/>
  <c r="A1485" i="18"/>
  <c r="A1484" i="18"/>
  <c r="A1483" i="18"/>
  <c r="A1482" i="18"/>
  <c r="A1481" i="18"/>
  <c r="A1480" i="18"/>
  <c r="A1479" i="18"/>
  <c r="A1478" i="18"/>
  <c r="A1477" i="18"/>
  <c r="A1476" i="18"/>
  <c r="A1475" i="18"/>
  <c r="A1474" i="18"/>
  <c r="A1473" i="18"/>
  <c r="A1472" i="18"/>
  <c r="A1471" i="18"/>
  <c r="A1470" i="18"/>
  <c r="A1469" i="18"/>
  <c r="A1468" i="18"/>
  <c r="A1467" i="18"/>
  <c r="A1466" i="18"/>
  <c r="A1465" i="18"/>
  <c r="A1464" i="18"/>
  <c r="A1463" i="18"/>
  <c r="A1462" i="18"/>
  <c r="A1461" i="18"/>
  <c r="A1460" i="18"/>
  <c r="A1459" i="18"/>
  <c r="A1458" i="18"/>
  <c r="A1457" i="18"/>
  <c r="A1456" i="18"/>
  <c r="A1455" i="18"/>
  <c r="A1454" i="18"/>
  <c r="A1453" i="18"/>
  <c r="A1452" i="18"/>
  <c r="A1451" i="18"/>
  <c r="A1450" i="18"/>
  <c r="A1449" i="18"/>
  <c r="A1448" i="18"/>
  <c r="A1447" i="18"/>
  <c r="A1446" i="18"/>
  <c r="A1445" i="18"/>
  <c r="A1444" i="18"/>
  <c r="A1443" i="18"/>
  <c r="A1442" i="18"/>
  <c r="A1441" i="18"/>
  <c r="A1440" i="18"/>
  <c r="A1439" i="18"/>
  <c r="A1438" i="18"/>
  <c r="A1437" i="18"/>
  <c r="A1436" i="18"/>
  <c r="A1435" i="18"/>
  <c r="A1434" i="18"/>
  <c r="A1433" i="18"/>
  <c r="A1432" i="18"/>
  <c r="A1431" i="18"/>
  <c r="A1430" i="18"/>
  <c r="A1429" i="18"/>
  <c r="A1428" i="18"/>
  <c r="A1427" i="18"/>
  <c r="A1426" i="18"/>
  <c r="A1425" i="18"/>
  <c r="A1424" i="18"/>
  <c r="A1423" i="18"/>
  <c r="A1422" i="18"/>
  <c r="A1421" i="18"/>
  <c r="A1420" i="18"/>
  <c r="A1419" i="18"/>
  <c r="A1418" i="18"/>
  <c r="A1417" i="18"/>
  <c r="A1416" i="18"/>
  <c r="A1415" i="18"/>
  <c r="A1414" i="18"/>
  <c r="A1413" i="18"/>
  <c r="A1412" i="18"/>
  <c r="A1411" i="18"/>
  <c r="A1410" i="18"/>
  <c r="A1409" i="18"/>
  <c r="A1408" i="18"/>
  <c r="A1407" i="18"/>
  <c r="A1406" i="18"/>
  <c r="A1405" i="18"/>
  <c r="A1404" i="18"/>
  <c r="A1403" i="18"/>
  <c r="A1402" i="18"/>
  <c r="A1401" i="18"/>
  <c r="A1400" i="18"/>
  <c r="A1399" i="18"/>
  <c r="A1398" i="18"/>
  <c r="A1397" i="18"/>
  <c r="A1396" i="18"/>
  <c r="A1395" i="18"/>
  <c r="A1394" i="18"/>
  <c r="A1393" i="18"/>
  <c r="A1392" i="18"/>
  <c r="A1391" i="18"/>
  <c r="A1390" i="18"/>
  <c r="A1389" i="18"/>
  <c r="A1388" i="18"/>
  <c r="A1387" i="18"/>
  <c r="A1386" i="18"/>
  <c r="A1385" i="18"/>
  <c r="A1384" i="18"/>
  <c r="A1383" i="18"/>
  <c r="A1382" i="18"/>
  <c r="A1381" i="18"/>
  <c r="A1380" i="18"/>
  <c r="A1379" i="18"/>
  <c r="A1378" i="18"/>
  <c r="A1377" i="18"/>
  <c r="A1376" i="18"/>
  <c r="A1375" i="18"/>
  <c r="A1374" i="18"/>
  <c r="A1373" i="18"/>
  <c r="A1372" i="18"/>
  <c r="A1371" i="18"/>
  <c r="A1370" i="18"/>
  <c r="A1369" i="18"/>
  <c r="A1368" i="18"/>
  <c r="A1367" i="18"/>
  <c r="A1366" i="18"/>
  <c r="A1365" i="18"/>
  <c r="A1364" i="18"/>
  <c r="A1363" i="18"/>
  <c r="A1362" i="18"/>
  <c r="A1361" i="18"/>
  <c r="A1360" i="18"/>
  <c r="A1359" i="18"/>
  <c r="A1358" i="18"/>
  <c r="A1357" i="18"/>
  <c r="A1356" i="18"/>
  <c r="A1355" i="18"/>
  <c r="A1354" i="18"/>
  <c r="A1353" i="18"/>
  <c r="A1352" i="18"/>
  <c r="A1351" i="18"/>
  <c r="A1350" i="18"/>
  <c r="A1349" i="18"/>
  <c r="A1348" i="18"/>
  <c r="A1347" i="18"/>
  <c r="A1346" i="18"/>
  <c r="A1345" i="18"/>
  <c r="A1344" i="18"/>
  <c r="A1343" i="18"/>
  <c r="A1342" i="18"/>
  <c r="A1341" i="18"/>
  <c r="A1340" i="18"/>
  <c r="A1339" i="18"/>
  <c r="A1338" i="18"/>
  <c r="A1337" i="18"/>
  <c r="A1336" i="18"/>
  <c r="A1335" i="18"/>
  <c r="A1334" i="18"/>
  <c r="A1333" i="18"/>
  <c r="A1332" i="18"/>
  <c r="A1331" i="18"/>
  <c r="A1330" i="18"/>
  <c r="A1329" i="18"/>
  <c r="A1328" i="18"/>
  <c r="A1327" i="18"/>
  <c r="A1326" i="18"/>
  <c r="A1325" i="18"/>
  <c r="A1324" i="18"/>
  <c r="A1323" i="18"/>
  <c r="A1322" i="18"/>
  <c r="A1321" i="18"/>
  <c r="A1320" i="18"/>
  <c r="A1319" i="18"/>
  <c r="A1318" i="18"/>
  <c r="A1317" i="18"/>
  <c r="A1316" i="18"/>
  <c r="A1315" i="18"/>
  <c r="A1314" i="18"/>
  <c r="A1313" i="18"/>
  <c r="A1312" i="18"/>
  <c r="A1311" i="18"/>
  <c r="A1310" i="18"/>
  <c r="A1309" i="18"/>
  <c r="A1308" i="18"/>
  <c r="A1307" i="18"/>
  <c r="A1306" i="18"/>
  <c r="A1305" i="18"/>
  <c r="A1304" i="18"/>
  <c r="A1303" i="18"/>
  <c r="A1302" i="18"/>
  <c r="A1301" i="18"/>
  <c r="A1300" i="18"/>
  <c r="A1299" i="18"/>
  <c r="A1298" i="18"/>
  <c r="A1297" i="18"/>
  <c r="A1296" i="18"/>
  <c r="A1295" i="18"/>
  <c r="A1294" i="18"/>
  <c r="A1293" i="18"/>
  <c r="A1292" i="18"/>
  <c r="A1291" i="18"/>
  <c r="A1290" i="18"/>
  <c r="A1289" i="18"/>
  <c r="A1288" i="18"/>
  <c r="A1287" i="18"/>
  <c r="A1286" i="18"/>
  <c r="A1285" i="18"/>
  <c r="A1284" i="18"/>
  <c r="A1283" i="18"/>
  <c r="A1282" i="18"/>
  <c r="A1281" i="18"/>
  <c r="A1280" i="18"/>
  <c r="A1279" i="18"/>
  <c r="A1278" i="18"/>
  <c r="A1277" i="18"/>
  <c r="A1276" i="18"/>
  <c r="A1275" i="18"/>
  <c r="A1274" i="18"/>
  <c r="A1273" i="18"/>
  <c r="A1272" i="18"/>
  <c r="A1271" i="18"/>
  <c r="A1270" i="18"/>
  <c r="A1269" i="18"/>
  <c r="A1268" i="18"/>
  <c r="A1267" i="18"/>
  <c r="A1266" i="18"/>
  <c r="A1265" i="18"/>
  <c r="A1264" i="18"/>
  <c r="A1263" i="18"/>
  <c r="A1262" i="18"/>
  <c r="A1261" i="18"/>
  <c r="A1260" i="18"/>
  <c r="A1259" i="18"/>
  <c r="A1258" i="18"/>
  <c r="A1257" i="18"/>
  <c r="A1256" i="18"/>
  <c r="A1255" i="18"/>
  <c r="A1254" i="18"/>
  <c r="A1253" i="18"/>
  <c r="A1252" i="18"/>
  <c r="A1251" i="18"/>
  <c r="A1250" i="18"/>
  <c r="A1249" i="18"/>
  <c r="A1248" i="18"/>
  <c r="A1247" i="18"/>
  <c r="A1246" i="18"/>
  <c r="A1245" i="18"/>
  <c r="A1244" i="18"/>
  <c r="A1243" i="18"/>
  <c r="A1242" i="18"/>
  <c r="A1241" i="18"/>
  <c r="A1240" i="18"/>
  <c r="A1239" i="18"/>
  <c r="A1238" i="18"/>
  <c r="A1237" i="18"/>
  <c r="A1236" i="18"/>
  <c r="A1235" i="18"/>
  <c r="A1234" i="18"/>
  <c r="A1233" i="18"/>
  <c r="A1232" i="18"/>
  <c r="A1231" i="18"/>
  <c r="A1230" i="18"/>
  <c r="A1229" i="18"/>
  <c r="A1228" i="18"/>
  <c r="A1227" i="18"/>
  <c r="A1226" i="18"/>
  <c r="A1225" i="18"/>
  <c r="A1224" i="18"/>
  <c r="A1223" i="18"/>
  <c r="A1222" i="18"/>
  <c r="A1221" i="18"/>
  <c r="A1220" i="18"/>
  <c r="A1219" i="18"/>
  <c r="A1218" i="18"/>
  <c r="A1217" i="18"/>
  <c r="A1216" i="18"/>
  <c r="A1215" i="18"/>
  <c r="A1214" i="18"/>
  <c r="A1213" i="18"/>
  <c r="A1212" i="18"/>
  <c r="A1211" i="18"/>
  <c r="A1210" i="18"/>
  <c r="A1209" i="18"/>
  <c r="A1208" i="18"/>
  <c r="A1207" i="18"/>
  <c r="A1206" i="18"/>
  <c r="A1205" i="18"/>
  <c r="A1204" i="18"/>
  <c r="A1203" i="18"/>
  <c r="A1202" i="18"/>
  <c r="A1201" i="18"/>
  <c r="A1200" i="18"/>
  <c r="A1199" i="18"/>
  <c r="A1198" i="18"/>
  <c r="A1197" i="18"/>
  <c r="A1196" i="18"/>
  <c r="A1195" i="18"/>
  <c r="A1194" i="18"/>
  <c r="A1193" i="18"/>
  <c r="A1192" i="18"/>
  <c r="A1191" i="18"/>
  <c r="A1190" i="18"/>
  <c r="A1189" i="18"/>
  <c r="A1188" i="18"/>
  <c r="A1187" i="18"/>
  <c r="A1186" i="18"/>
  <c r="A1185" i="18"/>
  <c r="A1184" i="18"/>
  <c r="A1183" i="18"/>
  <c r="A1182" i="18"/>
  <c r="A1181" i="18"/>
  <c r="A1180" i="18"/>
  <c r="A1179" i="18"/>
  <c r="A1178" i="18"/>
  <c r="A1177" i="18"/>
  <c r="A1176" i="18"/>
  <c r="A1175" i="18"/>
  <c r="A1174" i="18"/>
  <c r="A1173" i="18"/>
  <c r="A1172" i="18"/>
  <c r="A1171" i="18"/>
  <c r="A1170" i="18"/>
  <c r="A1169" i="18"/>
  <c r="A1168" i="18"/>
  <c r="A1167" i="18"/>
  <c r="A1166" i="18"/>
  <c r="A1165" i="18"/>
  <c r="A1164" i="18"/>
  <c r="A1163" i="18"/>
  <c r="A1162" i="18"/>
  <c r="A1161" i="18"/>
  <c r="A1160" i="18"/>
  <c r="A1159" i="18"/>
  <c r="A1158" i="18"/>
  <c r="A1157" i="18"/>
  <c r="A1156" i="18"/>
  <c r="A1155" i="18"/>
  <c r="A1154" i="18"/>
  <c r="A1153" i="18"/>
  <c r="A1152" i="18"/>
  <c r="A1151" i="18"/>
  <c r="A1150" i="18"/>
  <c r="A1149" i="18"/>
  <c r="A1148" i="18"/>
  <c r="A1147" i="18"/>
  <c r="A1146" i="18"/>
  <c r="A1145" i="18"/>
  <c r="A1144" i="18"/>
  <c r="A1143" i="18"/>
  <c r="A1142" i="18"/>
  <c r="A1141" i="18"/>
  <c r="A1140" i="18"/>
  <c r="A1139" i="18"/>
  <c r="A1138" i="18"/>
  <c r="A1137" i="18"/>
  <c r="A1136" i="18"/>
  <c r="A1135" i="18"/>
  <c r="A1134" i="18"/>
  <c r="A1133" i="18"/>
  <c r="A1132" i="18"/>
  <c r="A1131" i="18"/>
  <c r="A1130" i="18"/>
  <c r="A1129" i="18"/>
  <c r="A1128" i="18"/>
  <c r="A1127" i="18"/>
  <c r="A1126" i="18"/>
  <c r="A1125" i="18"/>
  <c r="A1124" i="18"/>
  <c r="A1123" i="18"/>
  <c r="A1122" i="18"/>
  <c r="A1121" i="18"/>
  <c r="A1120" i="18"/>
  <c r="A1119" i="18"/>
  <c r="A1118" i="18"/>
  <c r="A1117" i="18"/>
  <c r="A1116" i="18"/>
  <c r="A1115" i="18"/>
  <c r="A1114" i="18"/>
  <c r="A1113" i="18"/>
  <c r="A1112" i="18"/>
  <c r="A1111" i="18"/>
  <c r="A1110" i="18"/>
  <c r="A1109" i="18"/>
  <c r="A1108" i="18"/>
  <c r="A1107" i="18"/>
  <c r="A1106" i="18"/>
  <c r="A1105" i="18"/>
  <c r="A1104" i="18"/>
  <c r="A1103" i="18"/>
  <c r="A1102" i="18"/>
  <c r="A1101" i="18"/>
  <c r="A1100" i="18"/>
  <c r="A1099" i="18"/>
  <c r="A1098" i="18"/>
  <c r="A1097" i="18"/>
  <c r="A1096" i="18"/>
  <c r="A1095" i="18"/>
  <c r="A1094" i="18"/>
  <c r="A1093" i="18"/>
  <c r="A1092" i="18"/>
  <c r="A1091" i="18"/>
  <c r="A1090" i="18"/>
  <c r="A1089" i="18"/>
  <c r="A1088" i="18"/>
  <c r="A1087" i="18"/>
  <c r="A1086" i="18"/>
  <c r="A1085" i="18"/>
  <c r="A1084" i="18"/>
  <c r="A1083" i="18"/>
  <c r="A1082" i="18"/>
  <c r="A1081" i="18"/>
  <c r="A1080" i="18"/>
  <c r="A1079" i="18"/>
  <c r="A1078" i="18"/>
  <c r="A1077" i="18"/>
  <c r="A1076" i="18"/>
  <c r="A1075" i="18"/>
  <c r="A1074" i="18"/>
  <c r="A1073" i="18"/>
  <c r="A1072" i="18"/>
  <c r="A1071" i="18"/>
  <c r="A1070" i="18"/>
  <c r="A1069" i="18"/>
  <c r="A1068" i="18"/>
  <c r="A1067" i="18"/>
  <c r="A1066" i="18"/>
  <c r="A1065" i="18"/>
  <c r="A1064" i="18"/>
  <c r="A1063" i="18"/>
  <c r="A1062" i="18"/>
  <c r="A1061" i="18"/>
  <c r="A1060" i="18"/>
  <c r="A1059" i="18"/>
  <c r="A1058" i="18"/>
  <c r="A1057" i="18"/>
  <c r="A1056" i="18"/>
  <c r="A1055" i="18"/>
  <c r="A1054" i="18"/>
  <c r="A1053" i="18"/>
  <c r="A1052" i="18"/>
  <c r="A1051" i="18"/>
  <c r="A1050" i="18"/>
  <c r="A1049" i="18"/>
  <c r="A1048" i="18"/>
  <c r="A1047" i="18"/>
  <c r="A1046" i="18"/>
  <c r="A1045" i="18"/>
  <c r="A1044" i="18"/>
  <c r="A1043" i="18"/>
  <c r="A1042" i="18"/>
  <c r="A1041" i="18"/>
  <c r="A1040" i="18"/>
  <c r="A1039" i="18"/>
  <c r="A1038" i="18"/>
  <c r="A1037" i="18"/>
  <c r="A1036" i="18"/>
  <c r="A1035" i="18"/>
  <c r="A1034" i="18"/>
  <c r="A1033" i="18"/>
  <c r="A1032" i="18"/>
  <c r="A1031" i="18"/>
  <c r="A1030" i="18"/>
  <c r="A1029" i="18"/>
  <c r="A1028" i="18"/>
  <c r="A1027" i="18"/>
  <c r="A1026" i="18"/>
  <c r="A1025" i="18"/>
  <c r="A1024" i="18"/>
  <c r="A1023" i="18"/>
  <c r="A1022" i="18"/>
  <c r="A1021" i="18"/>
  <c r="A1020" i="18"/>
  <c r="A1019" i="18"/>
  <c r="A1018" i="18"/>
  <c r="A1017" i="18"/>
  <c r="A1016" i="18"/>
  <c r="A1015" i="18"/>
  <c r="A1014" i="18"/>
  <c r="A1013" i="18"/>
  <c r="A1012" i="18"/>
  <c r="A1011" i="18"/>
  <c r="A1010" i="18"/>
  <c r="A1009" i="18"/>
  <c r="A1008" i="18"/>
  <c r="A1007" i="18"/>
  <c r="A1006" i="18"/>
  <c r="A1005" i="18"/>
  <c r="A1004" i="18"/>
  <c r="A1003" i="18"/>
  <c r="A1002" i="18"/>
  <c r="A1001" i="18"/>
  <c r="A1000" i="18"/>
  <c r="A999" i="18"/>
  <c r="A998" i="18"/>
  <c r="A997" i="18"/>
  <c r="A996" i="18"/>
  <c r="A995" i="18"/>
  <c r="A994" i="18"/>
  <c r="A993" i="18"/>
  <c r="A992" i="18"/>
  <c r="A991" i="18"/>
  <c r="A990" i="18"/>
  <c r="A989" i="18"/>
  <c r="A988" i="18"/>
  <c r="A987" i="18"/>
  <c r="A986" i="18"/>
  <c r="A985" i="18"/>
  <c r="A984" i="18"/>
  <c r="A983" i="18"/>
  <c r="A982" i="18"/>
  <c r="A981" i="18"/>
  <c r="A980" i="18"/>
  <c r="A979" i="18"/>
  <c r="A978" i="18"/>
  <c r="A977" i="18"/>
  <c r="A976" i="18"/>
  <c r="A975" i="18"/>
  <c r="A974" i="18"/>
  <c r="A973" i="18"/>
  <c r="A972" i="18"/>
  <c r="A971" i="18"/>
  <c r="A970" i="18"/>
  <c r="A969" i="18"/>
  <c r="A968" i="18"/>
  <c r="A967" i="18"/>
  <c r="A966" i="18"/>
  <c r="A965" i="18"/>
  <c r="A964" i="18"/>
  <c r="A963" i="18"/>
  <c r="A962" i="18"/>
  <c r="A961" i="18"/>
  <c r="A960" i="18"/>
  <c r="A959" i="18"/>
  <c r="A958" i="18"/>
  <c r="A957" i="18"/>
  <c r="A956" i="18"/>
  <c r="A955" i="18"/>
  <c r="A954" i="18"/>
  <c r="A953" i="18"/>
  <c r="A952" i="18"/>
  <c r="A951" i="18"/>
  <c r="A950" i="18"/>
  <c r="A949" i="18"/>
  <c r="A948" i="18"/>
  <c r="A947" i="18"/>
  <c r="A946" i="18"/>
  <c r="A945" i="18"/>
  <c r="A944" i="18"/>
  <c r="A943" i="18"/>
  <c r="A942" i="18"/>
  <c r="A941" i="18"/>
  <c r="A940" i="18"/>
  <c r="A939" i="18"/>
  <c r="A938" i="18"/>
  <c r="A937" i="18"/>
  <c r="A936" i="18"/>
  <c r="A935" i="18"/>
  <c r="A934" i="18"/>
  <c r="A933" i="18"/>
  <c r="A932" i="18"/>
  <c r="A931" i="18"/>
  <c r="A930" i="18"/>
  <c r="A929" i="18"/>
  <c r="A928" i="18"/>
  <c r="A927" i="18"/>
  <c r="A926" i="18"/>
  <c r="A925" i="18"/>
  <c r="A924" i="18"/>
  <c r="A923" i="18"/>
  <c r="A922" i="18"/>
  <c r="A921" i="18"/>
  <c r="A920" i="18"/>
  <c r="A919" i="18"/>
  <c r="A918" i="18"/>
  <c r="A917" i="18"/>
  <c r="A916" i="18"/>
  <c r="A915" i="18"/>
  <c r="A914" i="18"/>
  <c r="A913" i="18"/>
  <c r="A912" i="18"/>
  <c r="A911" i="18"/>
  <c r="A910" i="18"/>
  <c r="A909" i="18"/>
  <c r="A908" i="18"/>
  <c r="A907" i="18"/>
  <c r="A906" i="18"/>
  <c r="A905" i="18"/>
  <c r="A904" i="18"/>
  <c r="A903" i="18"/>
  <c r="A902" i="18"/>
  <c r="A901" i="18"/>
  <c r="A900" i="18"/>
  <c r="A899" i="18"/>
  <c r="A898" i="18"/>
  <c r="A897" i="18"/>
  <c r="A896" i="18"/>
  <c r="A895" i="18"/>
  <c r="A894" i="18"/>
  <c r="A893" i="18"/>
  <c r="A892" i="18"/>
  <c r="A891" i="18"/>
  <c r="A890" i="18"/>
  <c r="A889" i="18"/>
  <c r="A888" i="18"/>
  <c r="A887" i="18"/>
  <c r="A886" i="18"/>
  <c r="A885" i="18"/>
  <c r="A884" i="18"/>
  <c r="A883" i="18"/>
  <c r="A882" i="18"/>
  <c r="A881" i="18"/>
  <c r="A880" i="18"/>
  <c r="A879" i="18"/>
  <c r="A878" i="18"/>
  <c r="A877" i="18"/>
  <c r="A876" i="18"/>
  <c r="A875" i="18"/>
  <c r="A874" i="18"/>
  <c r="A873" i="18"/>
  <c r="A872" i="18"/>
  <c r="A871" i="18"/>
  <c r="A870" i="18"/>
  <c r="A869" i="18"/>
  <c r="A868" i="18"/>
  <c r="A867" i="18"/>
  <c r="A866" i="18"/>
  <c r="A865" i="18"/>
  <c r="A864" i="18"/>
  <c r="A863" i="18"/>
  <c r="A862" i="18"/>
  <c r="A861" i="18"/>
  <c r="A860" i="18"/>
  <c r="A859" i="18"/>
  <c r="A858" i="18"/>
  <c r="A857" i="18"/>
  <c r="A856" i="18"/>
  <c r="A855" i="18"/>
  <c r="A854" i="18"/>
  <c r="A853" i="18"/>
  <c r="A852" i="18"/>
  <c r="A851" i="18"/>
  <c r="A850" i="18"/>
  <c r="A849" i="18"/>
  <c r="A848" i="18"/>
  <c r="A847" i="18"/>
  <c r="A846" i="18"/>
  <c r="A845" i="18"/>
  <c r="A844" i="18"/>
  <c r="A843" i="18"/>
  <c r="A842" i="18"/>
  <c r="A841" i="18"/>
  <c r="A840" i="18"/>
  <c r="A839" i="18"/>
  <c r="A838" i="18"/>
  <c r="A837" i="18"/>
  <c r="A836" i="18"/>
  <c r="A835" i="18"/>
  <c r="A834" i="18"/>
  <c r="A833" i="18"/>
  <c r="A832" i="18"/>
  <c r="A831" i="18"/>
  <c r="A830" i="18"/>
  <c r="A829" i="18"/>
  <c r="A828" i="18"/>
  <c r="A827" i="18"/>
  <c r="A826" i="18"/>
  <c r="A825" i="18"/>
  <c r="A824" i="18"/>
  <c r="A823" i="18"/>
  <c r="A822" i="18"/>
  <c r="A821" i="18"/>
  <c r="A820" i="18"/>
  <c r="A819" i="18"/>
  <c r="A818" i="18"/>
  <c r="A817" i="18"/>
  <c r="A816" i="18"/>
  <c r="A815" i="18"/>
  <c r="A814" i="18"/>
  <c r="A813" i="18"/>
  <c r="A812" i="18"/>
  <c r="A811" i="18"/>
  <c r="A810" i="18"/>
  <c r="A809" i="18"/>
  <c r="A808" i="18"/>
  <c r="A807" i="18"/>
  <c r="A806" i="18"/>
  <c r="A805" i="18"/>
  <c r="A804" i="18"/>
  <c r="A803" i="18"/>
  <c r="A802" i="18"/>
  <c r="A801" i="18"/>
  <c r="A800" i="18"/>
  <c r="A799" i="18"/>
  <c r="A798" i="18"/>
  <c r="A797" i="18"/>
  <c r="A796" i="18"/>
  <c r="A795" i="18"/>
  <c r="A794" i="18"/>
  <c r="A793" i="18"/>
  <c r="A792" i="18"/>
  <c r="A791" i="18"/>
  <c r="A790" i="18"/>
  <c r="A789" i="18"/>
  <c r="A788" i="18"/>
  <c r="A787" i="18"/>
  <c r="A786" i="18"/>
  <c r="A785" i="18"/>
  <c r="A784" i="18"/>
  <c r="A783" i="18"/>
  <c r="A782" i="18"/>
  <c r="A781" i="18"/>
  <c r="A780" i="18"/>
  <c r="A779" i="18"/>
  <c r="A778" i="18"/>
  <c r="A777" i="18"/>
  <c r="A776" i="18"/>
  <c r="A775" i="18"/>
  <c r="A774" i="18"/>
  <c r="A773" i="18"/>
  <c r="A772" i="18"/>
  <c r="A771" i="18"/>
  <c r="A770" i="18"/>
  <c r="A769" i="18"/>
  <c r="A768" i="18"/>
  <c r="A767" i="18"/>
  <c r="A766" i="18"/>
  <c r="A765" i="18"/>
  <c r="A764" i="18"/>
  <c r="A763" i="18"/>
  <c r="A762" i="18"/>
  <c r="A761" i="18"/>
  <c r="A760" i="18"/>
  <c r="A759" i="18"/>
  <c r="A758" i="18"/>
  <c r="A757" i="18"/>
  <c r="A756" i="18"/>
  <c r="A755" i="18"/>
  <c r="A754" i="18"/>
  <c r="A753" i="18"/>
  <c r="A752" i="18"/>
  <c r="A751" i="18"/>
  <c r="A750" i="18"/>
  <c r="A749" i="18"/>
  <c r="A748" i="18"/>
  <c r="A747" i="18"/>
  <c r="A746" i="18"/>
  <c r="A745" i="18"/>
  <c r="A744" i="18"/>
  <c r="A743" i="18"/>
  <c r="A742" i="18"/>
  <c r="A741" i="18"/>
  <c r="A740" i="18"/>
  <c r="A739" i="18"/>
  <c r="A738" i="18"/>
  <c r="A737" i="18"/>
  <c r="A736" i="18"/>
  <c r="A735" i="18"/>
  <c r="A734" i="18"/>
  <c r="A733" i="18"/>
  <c r="A732" i="18"/>
  <c r="A731" i="18"/>
  <c r="A730" i="18"/>
  <c r="A729" i="18"/>
  <c r="A728" i="18"/>
  <c r="A727" i="18"/>
  <c r="A726" i="18"/>
  <c r="A725" i="18"/>
  <c r="A724" i="18"/>
  <c r="A723" i="18"/>
  <c r="A722" i="18"/>
  <c r="A721" i="18"/>
  <c r="A720" i="18"/>
  <c r="A719" i="18"/>
  <c r="A718" i="18"/>
  <c r="A717" i="18"/>
  <c r="A716" i="18"/>
  <c r="A715" i="18"/>
  <c r="A714" i="18"/>
  <c r="A713" i="18"/>
  <c r="A712" i="18"/>
  <c r="A711" i="18"/>
  <c r="A710" i="18"/>
  <c r="A709" i="18"/>
  <c r="A708" i="18"/>
  <c r="A707" i="18"/>
  <c r="A706" i="18"/>
  <c r="A705" i="18"/>
  <c r="A704" i="18"/>
  <c r="A703" i="18"/>
  <c r="A702" i="18"/>
  <c r="A701" i="18"/>
  <c r="A700" i="18"/>
  <c r="A699" i="18"/>
  <c r="A698" i="18"/>
  <c r="A697" i="18"/>
  <c r="A696" i="18"/>
  <c r="A695" i="18"/>
  <c r="A694" i="18"/>
  <c r="A693" i="18"/>
  <c r="A692" i="18"/>
  <c r="A691" i="18"/>
  <c r="A690" i="18"/>
  <c r="A689" i="18"/>
  <c r="A688" i="18"/>
  <c r="A687" i="18"/>
  <c r="A686" i="18"/>
  <c r="A685" i="18"/>
  <c r="A684" i="18"/>
  <c r="A683" i="18"/>
  <c r="A682" i="18"/>
  <c r="A681" i="18"/>
  <c r="A680" i="18"/>
  <c r="A679" i="18"/>
  <c r="A678" i="18"/>
  <c r="A677" i="18"/>
  <c r="A676" i="18"/>
  <c r="A675" i="18"/>
  <c r="A674" i="18"/>
  <c r="A673" i="18"/>
  <c r="A672" i="18"/>
  <c r="A671" i="18"/>
  <c r="A670" i="18"/>
  <c r="A669" i="18"/>
  <c r="A668" i="18"/>
  <c r="A667" i="18"/>
  <c r="A666" i="18"/>
  <c r="A665" i="18"/>
  <c r="A664" i="18"/>
  <c r="A663" i="18"/>
  <c r="A662" i="18"/>
  <c r="A661" i="18"/>
  <c r="A660" i="18"/>
  <c r="A659" i="18"/>
  <c r="A658" i="18"/>
  <c r="A657" i="18"/>
  <c r="A656" i="18"/>
  <c r="A655" i="18"/>
  <c r="A654" i="18"/>
  <c r="A653" i="18"/>
  <c r="A652" i="18"/>
  <c r="A651" i="18"/>
  <c r="A650" i="18"/>
  <c r="A649" i="18"/>
  <c r="A648" i="18"/>
  <c r="A647" i="18"/>
  <c r="A646" i="18"/>
  <c r="A645" i="18"/>
  <c r="A644" i="18"/>
  <c r="A643" i="18"/>
  <c r="A642" i="18"/>
  <c r="A641" i="18"/>
  <c r="A640" i="18"/>
  <c r="A639" i="18"/>
  <c r="A638" i="18"/>
  <c r="A637" i="18"/>
  <c r="A636" i="18"/>
  <c r="A635" i="18"/>
  <c r="A634" i="18"/>
  <c r="A633" i="18"/>
  <c r="A632" i="18"/>
  <c r="A631" i="18"/>
  <c r="A630" i="18"/>
  <c r="A629" i="18"/>
  <c r="A628" i="18"/>
  <c r="A627" i="18"/>
  <c r="A626" i="18"/>
  <c r="A625" i="18"/>
  <c r="A624" i="18"/>
  <c r="A623" i="18"/>
  <c r="A622" i="18"/>
  <c r="A621" i="18"/>
  <c r="A620" i="18"/>
  <c r="A619" i="18"/>
  <c r="A618" i="18"/>
  <c r="A617" i="18"/>
  <c r="A616" i="18"/>
  <c r="A615" i="18"/>
  <c r="A614" i="18"/>
  <c r="A613" i="18"/>
  <c r="A612" i="18"/>
  <c r="A611" i="18"/>
  <c r="A610" i="18"/>
  <c r="A609" i="18"/>
  <c r="A608" i="18"/>
  <c r="A607" i="18"/>
  <c r="A606" i="18"/>
  <c r="A605" i="18"/>
  <c r="A604" i="18"/>
  <c r="A603" i="18"/>
  <c r="A602" i="18"/>
  <c r="A601" i="18"/>
  <c r="A600" i="18"/>
  <c r="A599" i="18"/>
  <c r="A598" i="18"/>
  <c r="A597" i="18"/>
  <c r="A596" i="18"/>
  <c r="A595" i="18"/>
  <c r="A594" i="18"/>
  <c r="A593" i="18"/>
  <c r="A592" i="18"/>
  <c r="A591" i="18"/>
  <c r="A590" i="18"/>
  <c r="A589" i="18"/>
  <c r="A588" i="18"/>
  <c r="A587" i="18"/>
  <c r="A586" i="18"/>
  <c r="A585" i="18"/>
  <c r="A584" i="18"/>
  <c r="A583" i="18"/>
  <c r="A582" i="18"/>
  <c r="A581" i="18"/>
  <c r="A580" i="18"/>
  <c r="A579" i="18"/>
  <c r="A578" i="18"/>
  <c r="A577" i="18"/>
  <c r="A576" i="18"/>
  <c r="A575" i="18"/>
  <c r="A574" i="18"/>
  <c r="A573" i="18"/>
  <c r="A572" i="18"/>
  <c r="A571" i="18"/>
  <c r="A570" i="18"/>
  <c r="A569" i="18"/>
  <c r="A568" i="18"/>
  <c r="A567" i="18"/>
  <c r="A566" i="18"/>
  <c r="A565" i="18"/>
  <c r="A564" i="18"/>
  <c r="A563" i="18"/>
  <c r="A562" i="18"/>
  <c r="A561" i="18"/>
  <c r="A560" i="18"/>
  <c r="A559" i="18"/>
  <c r="A558" i="18"/>
  <c r="A557" i="18"/>
  <c r="A556" i="18"/>
  <c r="A555" i="18"/>
  <c r="A554" i="18"/>
  <c r="A553" i="18"/>
  <c r="A552" i="18"/>
  <c r="A551" i="18"/>
  <c r="A550" i="18"/>
  <c r="A549" i="18"/>
  <c r="A548" i="18"/>
  <c r="A547" i="18"/>
  <c r="A546" i="18"/>
  <c r="A545" i="18"/>
  <c r="A544" i="18"/>
  <c r="A543" i="18"/>
  <c r="A542" i="18"/>
  <c r="A541" i="18"/>
  <c r="A540" i="18"/>
  <c r="A539" i="18"/>
  <c r="A538" i="18"/>
  <c r="A537" i="18"/>
  <c r="A536" i="18"/>
  <c r="A535" i="18"/>
  <c r="A534" i="18"/>
  <c r="A533" i="18"/>
  <c r="A532" i="18"/>
  <c r="A531" i="18"/>
  <c r="A530" i="18"/>
  <c r="A529" i="18"/>
  <c r="A528" i="18"/>
  <c r="A527" i="18"/>
  <c r="A526" i="18"/>
  <c r="A525" i="18"/>
  <c r="A524" i="18"/>
  <c r="A523" i="18"/>
  <c r="A522" i="18"/>
  <c r="A521" i="18"/>
  <c r="A520" i="18"/>
  <c r="A519" i="18"/>
  <c r="A518" i="18"/>
  <c r="A517" i="18"/>
  <c r="A516" i="18"/>
  <c r="A515" i="18"/>
  <c r="A514" i="18"/>
  <c r="A513" i="18"/>
  <c r="A512" i="18"/>
  <c r="A511" i="18"/>
  <c r="A510" i="18"/>
  <c r="A509" i="18"/>
  <c r="A508" i="18"/>
  <c r="A507" i="18"/>
  <c r="A506" i="18"/>
  <c r="A505" i="18"/>
  <c r="A504" i="18"/>
  <c r="A503" i="18"/>
  <c r="A502" i="18"/>
  <c r="A501" i="18"/>
  <c r="A500" i="18"/>
  <c r="A499" i="18"/>
  <c r="A498" i="18"/>
  <c r="A497" i="18"/>
  <c r="A496" i="18"/>
  <c r="A495" i="18"/>
  <c r="A494" i="18"/>
  <c r="A493" i="18"/>
  <c r="A492" i="18"/>
  <c r="A491" i="18"/>
  <c r="A490" i="18"/>
  <c r="A489" i="18"/>
  <c r="A488" i="18"/>
  <c r="A487" i="18"/>
  <c r="A486" i="18"/>
  <c r="A485" i="18"/>
  <c r="A484" i="18"/>
  <c r="A483" i="18"/>
  <c r="A482" i="18"/>
  <c r="A481" i="18"/>
  <c r="A480" i="18"/>
  <c r="A479" i="18"/>
  <c r="A478" i="18"/>
  <c r="A477" i="18"/>
  <c r="A476" i="18"/>
  <c r="A475" i="18"/>
  <c r="A474" i="18"/>
  <c r="A473" i="18"/>
  <c r="A472" i="18"/>
  <c r="A471" i="18"/>
  <c r="A470" i="18"/>
  <c r="A469" i="18"/>
  <c r="A468" i="18"/>
  <c r="A467" i="18"/>
  <c r="A466" i="18"/>
  <c r="A465" i="18"/>
  <c r="A464" i="18"/>
  <c r="A463" i="18"/>
  <c r="A462" i="18"/>
  <c r="A461" i="18"/>
  <c r="A460" i="18"/>
  <c r="A459" i="18"/>
  <c r="A458" i="18"/>
  <c r="A457" i="18"/>
  <c r="A456" i="18"/>
  <c r="A455" i="18"/>
  <c r="A454" i="18"/>
  <c r="A453" i="18"/>
  <c r="A452" i="18"/>
  <c r="A451" i="18"/>
  <c r="A450" i="18"/>
  <c r="A449" i="18"/>
  <c r="A448" i="18"/>
  <c r="A447" i="18"/>
  <c r="A446" i="18"/>
  <c r="A445" i="18"/>
  <c r="A444" i="18"/>
  <c r="A443" i="18"/>
  <c r="A442" i="18"/>
  <c r="A441" i="18"/>
  <c r="A440" i="18"/>
  <c r="A439" i="18"/>
  <c r="A438" i="18"/>
  <c r="A437" i="18"/>
  <c r="A436" i="18"/>
  <c r="A435" i="18"/>
  <c r="A434" i="18"/>
  <c r="A433" i="18"/>
  <c r="A432" i="18"/>
  <c r="A431" i="18"/>
  <c r="A430" i="18"/>
  <c r="A429" i="18"/>
  <c r="A428" i="18"/>
  <c r="A427" i="18"/>
  <c r="A426" i="18"/>
  <c r="A425" i="18"/>
  <c r="A424" i="18"/>
  <c r="A423" i="18"/>
  <c r="A422" i="18"/>
  <c r="A421" i="18"/>
  <c r="A420" i="18"/>
  <c r="A419" i="18"/>
  <c r="A418" i="18"/>
  <c r="A417" i="18"/>
  <c r="A416" i="18"/>
  <c r="A415" i="18"/>
  <c r="A414" i="18"/>
  <c r="A413" i="18"/>
  <c r="A412" i="18"/>
  <c r="A411" i="18"/>
  <c r="A410" i="18"/>
  <c r="A409" i="18"/>
  <c r="A408" i="18"/>
  <c r="A407" i="18"/>
  <c r="A406" i="18"/>
  <c r="A405" i="18"/>
  <c r="A404" i="18"/>
  <c r="A403" i="18"/>
  <c r="A402" i="18"/>
  <c r="A401" i="18"/>
  <c r="A400" i="18"/>
  <c r="A399" i="18"/>
  <c r="A398" i="18"/>
  <c r="A397" i="18"/>
  <c r="A396" i="18"/>
  <c r="A395" i="18"/>
  <c r="A394" i="18"/>
  <c r="A393" i="18"/>
  <c r="A392" i="18"/>
  <c r="A391" i="18"/>
  <c r="A390" i="18"/>
  <c r="A389" i="18"/>
  <c r="A388" i="18"/>
  <c r="A387" i="18"/>
  <c r="A386" i="18"/>
  <c r="A385" i="18"/>
  <c r="A384" i="18"/>
  <c r="A383" i="18"/>
  <c r="A382" i="18"/>
  <c r="A381" i="18"/>
  <c r="A380" i="18"/>
  <c r="A379" i="18"/>
  <c r="A378" i="18"/>
  <c r="A377" i="18"/>
  <c r="A376" i="18"/>
  <c r="A375" i="18"/>
  <c r="A374" i="18"/>
  <c r="A373" i="18"/>
  <c r="A372" i="18"/>
  <c r="A371" i="18"/>
  <c r="A370" i="18"/>
  <c r="A369" i="18"/>
  <c r="A368" i="18"/>
  <c r="A367" i="18"/>
  <c r="A366" i="18"/>
  <c r="A365" i="18"/>
  <c r="A364" i="18"/>
  <c r="A363" i="18"/>
  <c r="A362" i="18"/>
  <c r="A361" i="18"/>
  <c r="A360" i="18"/>
  <c r="A359" i="18"/>
  <c r="A358" i="18"/>
  <c r="A357" i="18"/>
  <c r="A356" i="18"/>
  <c r="A355" i="18"/>
  <c r="A354" i="18"/>
  <c r="A353" i="18"/>
  <c r="A352" i="18"/>
  <c r="A351" i="18"/>
  <c r="A350" i="18"/>
  <c r="A349" i="18"/>
  <c r="A348" i="18"/>
  <c r="A347" i="18"/>
  <c r="A346" i="18"/>
  <c r="A345" i="18"/>
  <c r="A344" i="18"/>
  <c r="A343" i="18"/>
  <c r="A342" i="18"/>
  <c r="A341" i="18"/>
  <c r="A340" i="18"/>
  <c r="A339" i="18"/>
  <c r="A338" i="18"/>
  <c r="A337" i="18"/>
  <c r="A336" i="18"/>
  <c r="A335" i="18"/>
  <c r="A334" i="18"/>
  <c r="A333" i="18"/>
  <c r="A332" i="18"/>
  <c r="A331" i="18"/>
  <c r="A330" i="18"/>
  <c r="A329" i="18"/>
  <c r="A328" i="18"/>
  <c r="A327" i="18"/>
  <c r="A326" i="18"/>
  <c r="A325" i="18"/>
  <c r="A324" i="18"/>
  <c r="A323" i="18"/>
  <c r="A322" i="18"/>
  <c r="A321" i="18"/>
  <c r="A320" i="18"/>
  <c r="A319" i="18"/>
  <c r="A318" i="18"/>
  <c r="A317" i="18"/>
  <c r="A316" i="18"/>
  <c r="A315" i="18"/>
  <c r="A314" i="18"/>
  <c r="A313" i="18"/>
  <c r="A312" i="18"/>
  <c r="A311" i="18"/>
  <c r="A310" i="18"/>
  <c r="A309" i="18"/>
  <c r="A308" i="18"/>
  <c r="A307" i="18"/>
  <c r="A306" i="18"/>
  <c r="A305" i="18"/>
  <c r="A304" i="18"/>
  <c r="A303" i="18"/>
  <c r="A302" i="18"/>
  <c r="A301" i="18"/>
  <c r="A300" i="18"/>
  <c r="A299" i="18"/>
  <c r="A298" i="18"/>
  <c r="A297" i="18"/>
  <c r="A296" i="18"/>
  <c r="A295" i="18"/>
  <c r="A294" i="18"/>
  <c r="A293" i="18"/>
  <c r="A292" i="18"/>
  <c r="A291" i="18"/>
  <c r="A290" i="18"/>
  <c r="A289" i="18"/>
  <c r="A288" i="18"/>
  <c r="A287" i="18"/>
  <c r="A286" i="18"/>
  <c r="A285" i="18"/>
  <c r="A284" i="18"/>
  <c r="A283" i="18"/>
  <c r="A282" i="18"/>
  <c r="A281" i="18"/>
  <c r="A280"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C1837" i="17"/>
  <c r="C1836" i="17"/>
  <c r="C1835" i="17"/>
  <c r="C1834" i="17"/>
  <c r="C1833" i="17"/>
  <c r="C1832" i="17"/>
  <c r="C1831" i="17"/>
  <c r="C1830" i="17"/>
  <c r="C1829" i="17"/>
  <c r="C1828" i="17"/>
  <c r="C1827" i="17"/>
  <c r="C1826" i="17"/>
  <c r="C1825" i="17"/>
  <c r="C1824" i="17"/>
  <c r="C1823" i="17"/>
  <c r="C1822" i="17"/>
  <c r="C1821" i="17"/>
  <c r="C1820" i="17"/>
  <c r="C1819" i="17"/>
  <c r="C1818" i="17"/>
  <c r="C1817" i="17"/>
  <c r="C1816" i="17"/>
  <c r="C1815" i="17"/>
  <c r="C1814" i="17"/>
  <c r="C1813" i="17"/>
  <c r="C1812" i="17"/>
  <c r="C1811" i="17"/>
  <c r="C1810" i="17"/>
  <c r="C1809" i="17"/>
  <c r="C1808" i="17"/>
  <c r="C1807" i="17"/>
  <c r="C1806" i="17"/>
  <c r="C1805" i="17"/>
  <c r="C1804" i="17"/>
  <c r="C1803" i="17"/>
  <c r="C1802" i="17"/>
  <c r="C1801" i="17"/>
  <c r="C1800" i="17"/>
  <c r="C1799" i="17"/>
  <c r="C1798" i="17"/>
  <c r="C1797" i="17"/>
  <c r="C1796" i="17"/>
  <c r="C1795" i="17"/>
  <c r="C1794" i="17"/>
  <c r="C1793" i="17"/>
  <c r="C1792" i="17"/>
  <c r="C1791" i="17"/>
  <c r="C1790" i="17"/>
  <c r="C1789" i="17"/>
  <c r="C1788" i="17"/>
  <c r="C1787" i="17"/>
  <c r="C1786" i="17"/>
  <c r="C1785" i="17"/>
  <c r="C1784" i="17"/>
  <c r="C1783" i="17"/>
  <c r="C1782" i="17"/>
  <c r="C1781" i="17"/>
  <c r="C1780" i="17"/>
  <c r="C1779" i="17"/>
  <c r="C1778" i="17"/>
  <c r="C1777" i="17"/>
  <c r="C1776" i="17"/>
  <c r="C1775" i="17"/>
  <c r="C1774" i="17"/>
  <c r="C1773" i="17"/>
  <c r="C1772" i="17"/>
  <c r="C1771" i="17"/>
  <c r="C1770" i="17"/>
  <c r="C1769" i="17"/>
  <c r="C1768" i="17"/>
  <c r="C1767" i="17"/>
  <c r="C1766" i="17"/>
  <c r="C1765" i="17"/>
  <c r="C1764" i="17"/>
  <c r="C1763" i="17"/>
  <c r="C1762" i="17"/>
  <c r="C1761" i="17"/>
  <c r="C1760" i="17"/>
  <c r="C1759" i="17"/>
  <c r="C1758" i="17"/>
  <c r="C1757" i="17"/>
  <c r="C1756" i="17"/>
  <c r="C1755" i="17"/>
  <c r="C1754" i="17"/>
  <c r="C1753" i="17"/>
  <c r="C1752" i="17"/>
  <c r="C1751" i="17"/>
  <c r="C1750" i="17"/>
  <c r="C1749" i="17"/>
  <c r="C1748" i="17"/>
  <c r="C1747" i="17"/>
  <c r="C1746" i="17"/>
  <c r="C1745" i="17"/>
  <c r="C1744" i="17"/>
  <c r="C1743" i="17"/>
  <c r="C1742" i="17"/>
  <c r="C1741" i="17"/>
  <c r="C1740" i="17"/>
  <c r="C1739" i="17"/>
  <c r="C1738" i="17"/>
  <c r="C1737" i="17"/>
  <c r="C1736" i="17"/>
  <c r="C1735" i="17"/>
  <c r="C1734" i="17"/>
  <c r="C1733" i="17"/>
  <c r="C1732" i="17"/>
  <c r="C1731" i="17"/>
  <c r="C1730" i="17"/>
  <c r="C1729" i="17"/>
  <c r="C1728" i="17"/>
  <c r="C1727" i="17"/>
  <c r="C1726" i="17"/>
  <c r="C1725" i="17"/>
  <c r="C1724" i="17"/>
  <c r="C1723" i="17"/>
  <c r="C1722" i="17"/>
  <c r="C1721" i="17"/>
  <c r="C1720" i="17"/>
  <c r="C1719" i="17"/>
  <c r="C1718" i="17"/>
  <c r="C1717" i="17"/>
  <c r="C1716" i="17"/>
  <c r="C1715" i="17"/>
  <c r="C1714" i="17"/>
  <c r="C1713" i="17"/>
  <c r="C1712" i="17"/>
  <c r="C1711" i="17"/>
  <c r="C1710" i="17"/>
  <c r="C1709" i="17"/>
  <c r="C1708" i="17"/>
  <c r="C1707" i="17"/>
  <c r="C1706" i="17"/>
  <c r="C1705" i="17"/>
  <c r="C1704" i="17"/>
  <c r="C1703" i="17"/>
  <c r="C1702" i="17"/>
  <c r="C1701" i="17"/>
  <c r="C1700" i="17"/>
  <c r="C1699" i="17"/>
  <c r="C1698" i="17"/>
  <c r="C1697" i="17"/>
  <c r="C1696" i="17"/>
  <c r="C1695" i="17"/>
  <c r="C1694" i="17"/>
  <c r="C1693" i="17"/>
  <c r="C1692" i="17"/>
  <c r="C1691" i="17"/>
  <c r="C1690" i="17"/>
  <c r="C1689" i="17"/>
  <c r="C1688" i="17"/>
  <c r="C1687" i="17"/>
  <c r="C1686" i="17"/>
  <c r="C1685" i="17"/>
  <c r="C1684" i="17"/>
  <c r="C1683" i="17"/>
  <c r="C1682" i="17"/>
  <c r="C1681" i="17"/>
  <c r="C1680" i="17"/>
  <c r="C1679" i="17"/>
  <c r="C1678" i="17"/>
  <c r="C1677" i="17"/>
  <c r="C1676" i="17"/>
  <c r="C1675" i="17"/>
  <c r="C1674" i="17"/>
  <c r="C1673" i="17"/>
  <c r="C1672" i="17"/>
  <c r="C1671" i="17"/>
  <c r="C1670" i="17"/>
  <c r="C1669" i="17"/>
  <c r="C1668" i="17"/>
  <c r="C1667" i="17"/>
  <c r="C1666" i="17"/>
  <c r="C1665" i="17"/>
  <c r="C1664" i="17"/>
  <c r="C1663" i="17"/>
  <c r="C1662" i="17"/>
  <c r="C1661" i="17"/>
  <c r="C1660" i="17"/>
  <c r="C1659" i="17"/>
  <c r="C1658" i="17"/>
  <c r="C1657" i="17"/>
  <c r="C1656" i="17"/>
  <c r="C1655" i="17"/>
  <c r="C1654" i="17"/>
  <c r="C1653" i="17"/>
  <c r="C1652" i="17"/>
  <c r="C1651" i="17"/>
  <c r="C1650" i="17"/>
  <c r="C1649" i="17"/>
  <c r="C1648" i="17"/>
  <c r="C1647" i="17"/>
  <c r="C1646" i="17"/>
  <c r="C1645" i="17"/>
  <c r="C1644" i="17"/>
  <c r="C1643" i="17"/>
  <c r="C1642" i="17"/>
  <c r="C1641" i="17"/>
  <c r="C1640" i="17"/>
  <c r="C1639" i="17"/>
  <c r="C1638" i="17"/>
  <c r="C1637" i="17"/>
  <c r="C1636" i="17"/>
  <c r="C1635" i="17"/>
  <c r="C1634" i="17"/>
  <c r="C1633" i="17"/>
  <c r="C1632" i="17"/>
  <c r="C1631" i="17"/>
  <c r="C1630" i="17"/>
  <c r="C1629" i="17"/>
  <c r="C1628" i="17"/>
  <c r="C1627" i="17"/>
  <c r="C1626" i="17"/>
  <c r="C1625" i="17"/>
  <c r="C1624" i="17"/>
  <c r="C1623" i="17"/>
  <c r="C1622" i="17"/>
  <c r="C1621" i="17"/>
  <c r="C1620" i="17"/>
  <c r="C1619" i="17"/>
  <c r="C1618" i="17"/>
  <c r="C1617" i="17"/>
  <c r="C1616" i="17"/>
  <c r="C1615" i="17"/>
  <c r="C1614" i="17"/>
  <c r="C1613" i="17"/>
  <c r="C1612" i="17"/>
  <c r="C1611" i="17"/>
  <c r="C1610" i="17"/>
  <c r="C1609" i="17"/>
  <c r="C1608" i="17"/>
  <c r="C1607" i="17"/>
  <c r="C1606" i="17"/>
  <c r="C1605" i="17"/>
  <c r="C1604" i="17"/>
  <c r="C1603" i="17"/>
  <c r="C1602" i="17"/>
  <c r="C1601" i="17"/>
  <c r="C1600" i="17"/>
  <c r="C1599" i="17"/>
  <c r="C1598" i="17"/>
  <c r="C1597" i="17"/>
  <c r="C1596" i="17"/>
  <c r="C1595" i="17"/>
  <c r="C1594" i="17"/>
  <c r="C1593" i="17"/>
  <c r="C1592" i="17"/>
  <c r="C1591" i="17"/>
  <c r="C1590" i="17"/>
  <c r="C1589" i="17"/>
  <c r="C1588" i="17"/>
  <c r="C1587" i="17"/>
  <c r="C1586" i="17"/>
  <c r="C1585" i="17"/>
  <c r="C1584" i="17"/>
  <c r="C1583" i="17"/>
  <c r="C1582" i="17"/>
  <c r="C1581" i="17"/>
  <c r="C1580" i="17"/>
  <c r="C1579" i="17"/>
  <c r="C1578" i="17"/>
  <c r="C1577" i="17"/>
  <c r="C1576" i="17"/>
  <c r="C1575" i="17"/>
  <c r="C1574" i="17"/>
  <c r="C1573" i="17"/>
  <c r="C1572" i="17"/>
  <c r="C1571" i="17"/>
  <c r="C1570" i="17"/>
  <c r="C1569" i="17"/>
  <c r="C1568" i="17"/>
  <c r="C1567" i="17"/>
  <c r="C1566" i="17"/>
  <c r="C1565" i="17"/>
  <c r="C1564" i="17"/>
  <c r="C1563" i="17"/>
  <c r="C1562" i="17"/>
  <c r="C1561" i="17"/>
  <c r="C1560" i="17"/>
  <c r="C1559" i="17"/>
  <c r="C1558" i="17"/>
  <c r="C1557" i="17"/>
  <c r="C1556" i="17"/>
  <c r="C1555" i="17"/>
  <c r="C1554" i="17"/>
  <c r="C1553" i="17"/>
  <c r="C1552" i="17"/>
  <c r="C1551" i="17"/>
  <c r="C1550" i="17"/>
  <c r="C1549" i="17"/>
  <c r="C1548" i="17"/>
  <c r="C1547" i="17"/>
  <c r="C1546" i="17"/>
  <c r="C1545" i="17"/>
  <c r="C1544" i="17"/>
  <c r="C1543" i="17"/>
  <c r="C1542" i="17"/>
  <c r="C1541" i="17"/>
  <c r="C1540" i="17"/>
  <c r="C1539" i="17"/>
  <c r="C1538" i="17"/>
  <c r="C1537" i="17"/>
  <c r="C1536" i="17"/>
  <c r="C1535" i="17"/>
  <c r="C1534" i="17"/>
  <c r="C1533" i="17"/>
  <c r="C1532" i="17"/>
  <c r="C1531" i="17"/>
  <c r="C1530" i="17"/>
  <c r="C1529" i="17"/>
  <c r="C1528" i="17"/>
  <c r="C1527" i="17"/>
  <c r="C1526" i="17"/>
  <c r="C1525" i="17"/>
  <c r="C1524" i="17"/>
  <c r="C1523" i="17"/>
  <c r="C1522" i="17"/>
  <c r="C1521" i="17"/>
  <c r="C1520" i="17"/>
  <c r="C1519" i="17"/>
  <c r="C1518" i="17"/>
  <c r="C1517" i="17"/>
  <c r="C1516" i="17"/>
  <c r="C1515" i="17"/>
  <c r="C1514" i="17"/>
  <c r="C1513" i="17"/>
  <c r="C1512" i="17"/>
  <c r="C1511" i="17"/>
  <c r="C1510" i="17"/>
  <c r="C1509" i="17"/>
  <c r="C1508" i="17"/>
  <c r="C1507" i="17"/>
  <c r="C1506" i="17"/>
  <c r="C1505" i="17"/>
  <c r="C1504" i="17"/>
  <c r="C1503" i="17"/>
  <c r="C1502" i="17"/>
  <c r="C1501" i="17"/>
  <c r="C1500" i="17"/>
  <c r="C1499" i="17"/>
  <c r="C1498" i="17"/>
  <c r="C1497" i="17"/>
  <c r="C1496" i="17"/>
  <c r="C1495" i="17"/>
  <c r="C1494" i="17"/>
  <c r="C1493" i="17"/>
  <c r="C1492" i="17"/>
  <c r="C1491" i="17"/>
  <c r="C1490" i="17"/>
  <c r="C1489" i="17"/>
  <c r="C1488" i="17"/>
  <c r="C1487" i="17"/>
  <c r="C1486" i="17"/>
  <c r="C1485" i="17"/>
  <c r="C1484" i="17"/>
  <c r="C1483" i="17"/>
  <c r="C1482" i="17"/>
  <c r="C1481" i="17"/>
  <c r="C1480" i="17"/>
  <c r="C1479" i="17"/>
  <c r="C1478" i="17"/>
  <c r="C1477" i="17"/>
  <c r="C1476" i="17"/>
  <c r="C1475" i="17"/>
  <c r="C1474" i="17"/>
  <c r="C1473" i="17"/>
  <c r="C1472" i="17"/>
  <c r="C1471" i="17"/>
  <c r="C1470" i="17"/>
  <c r="C1469" i="17"/>
  <c r="C1468" i="17"/>
  <c r="C1467" i="17"/>
  <c r="C1466" i="17"/>
  <c r="C1465" i="17"/>
  <c r="C1464" i="17"/>
  <c r="C1463" i="17"/>
  <c r="C1462" i="17"/>
  <c r="C1461" i="17"/>
  <c r="C1460" i="17"/>
  <c r="C1459" i="17"/>
  <c r="C1458" i="17"/>
  <c r="C1457" i="17"/>
  <c r="C1456" i="17"/>
  <c r="C1455" i="17"/>
  <c r="C1454" i="17"/>
  <c r="C1453" i="17"/>
  <c r="C1452" i="17"/>
  <c r="C1451" i="17"/>
  <c r="C1450" i="17"/>
  <c r="C1449" i="17"/>
  <c r="C1448" i="17"/>
  <c r="C1447" i="17"/>
  <c r="C1446" i="17"/>
  <c r="C1445" i="17"/>
  <c r="C1444" i="17"/>
  <c r="C1443" i="17"/>
  <c r="C1442" i="17"/>
  <c r="C1441" i="17"/>
  <c r="C1440" i="17"/>
  <c r="C1439" i="17"/>
  <c r="C1438" i="17"/>
  <c r="C1437" i="17"/>
  <c r="C1436" i="17"/>
  <c r="C1435" i="17"/>
  <c r="C1434" i="17"/>
  <c r="C1433" i="17"/>
  <c r="C1432" i="17"/>
  <c r="C1431" i="17"/>
  <c r="C1430" i="17"/>
  <c r="C1429" i="17"/>
  <c r="C1428" i="17"/>
  <c r="C1427" i="17"/>
  <c r="C1426" i="17"/>
  <c r="C1425" i="17"/>
  <c r="C1424" i="17"/>
  <c r="C1423" i="17"/>
  <c r="C1422" i="17"/>
  <c r="C1421" i="17"/>
  <c r="C1420" i="17"/>
  <c r="C1419" i="17"/>
  <c r="C1418" i="17"/>
  <c r="C1417" i="17"/>
  <c r="C1416" i="17"/>
  <c r="C1415" i="17"/>
  <c r="C1414" i="17"/>
  <c r="C1413" i="17"/>
  <c r="C1412" i="17"/>
  <c r="C1411" i="17"/>
  <c r="C1410" i="17"/>
  <c r="C1409" i="17"/>
  <c r="C1408" i="17"/>
  <c r="C1407" i="17"/>
  <c r="C1406" i="17"/>
  <c r="C1405" i="17"/>
  <c r="C1404" i="17"/>
  <c r="C1403" i="17"/>
  <c r="C1402" i="17"/>
  <c r="C1401" i="17"/>
  <c r="C1400" i="17"/>
  <c r="C1399" i="17"/>
  <c r="C1398" i="17"/>
  <c r="C1397" i="17"/>
  <c r="C1396" i="17"/>
  <c r="C1395" i="17"/>
  <c r="C1394" i="17"/>
  <c r="C1393" i="17"/>
  <c r="C1392" i="17"/>
  <c r="C1391" i="17"/>
  <c r="C1390" i="17"/>
  <c r="C1389" i="17"/>
  <c r="C1388" i="17"/>
  <c r="C1387" i="17"/>
  <c r="C1386" i="17"/>
  <c r="C1385" i="17"/>
  <c r="C1384" i="17"/>
  <c r="C1383" i="17"/>
  <c r="C1382" i="17"/>
  <c r="C1381" i="17"/>
  <c r="C1380" i="17"/>
  <c r="C1379" i="17"/>
  <c r="C1378" i="17"/>
  <c r="C1377" i="17"/>
  <c r="C1376" i="17"/>
  <c r="C1375" i="17"/>
  <c r="C1374" i="17"/>
  <c r="C1373" i="17"/>
  <c r="C1372" i="17"/>
  <c r="C1371" i="17"/>
  <c r="C1370" i="17"/>
  <c r="C1369" i="17"/>
  <c r="C1368" i="17"/>
  <c r="C1367" i="17"/>
  <c r="C1366" i="17"/>
  <c r="C1365" i="17"/>
  <c r="C1364" i="17"/>
  <c r="C1363" i="17"/>
  <c r="C1362" i="17"/>
  <c r="C1361" i="17"/>
  <c r="C1360" i="17"/>
  <c r="C1359" i="17"/>
  <c r="C1358" i="17"/>
  <c r="C1357" i="17"/>
  <c r="C1356" i="17"/>
  <c r="C1355" i="17"/>
  <c r="C1354" i="17"/>
  <c r="C1353" i="17"/>
  <c r="C1352" i="17"/>
  <c r="C1351" i="17"/>
  <c r="C1350" i="17"/>
  <c r="C1349" i="17"/>
  <c r="C1348" i="17"/>
  <c r="C1347" i="17"/>
  <c r="C1346" i="17"/>
  <c r="C1345" i="17"/>
  <c r="C1344" i="17"/>
  <c r="C1343" i="17"/>
  <c r="C1342" i="17"/>
  <c r="C1341" i="17"/>
  <c r="C1340" i="17"/>
  <c r="C1339" i="17"/>
  <c r="C1338" i="17"/>
  <c r="C1337" i="17"/>
  <c r="C1336" i="17"/>
  <c r="C1335" i="17"/>
  <c r="C1334" i="17"/>
  <c r="C1333" i="17"/>
  <c r="C1332" i="17"/>
  <c r="C1331" i="17"/>
  <c r="C1330" i="17"/>
  <c r="C1329" i="17"/>
  <c r="C1328" i="17"/>
  <c r="C1327" i="17"/>
  <c r="C1326" i="17"/>
  <c r="C1325" i="17"/>
  <c r="C1324" i="17"/>
  <c r="C1323" i="17"/>
  <c r="C1322" i="17"/>
  <c r="C1321" i="17"/>
  <c r="C1320" i="17"/>
  <c r="C1319" i="17"/>
  <c r="C1318" i="17"/>
  <c r="C1317" i="17"/>
  <c r="C1316" i="17"/>
  <c r="C1315" i="17"/>
  <c r="C1314" i="17"/>
  <c r="C1313" i="17"/>
  <c r="C1312" i="17"/>
  <c r="C1311" i="17"/>
  <c r="C1310" i="17"/>
  <c r="C1309" i="17"/>
  <c r="C1308" i="17"/>
  <c r="C1307" i="17"/>
  <c r="C1306" i="17"/>
  <c r="C1305" i="17"/>
  <c r="C1304" i="17"/>
  <c r="C1303" i="17"/>
  <c r="C1302" i="17"/>
  <c r="C1301" i="17"/>
  <c r="C1300" i="17"/>
  <c r="C1299" i="17"/>
  <c r="C1298" i="17"/>
  <c r="C1297" i="17"/>
  <c r="C1296" i="17"/>
  <c r="C1295" i="17"/>
  <c r="C1294" i="17"/>
  <c r="C1293" i="17"/>
  <c r="C1292" i="17"/>
  <c r="C1291" i="17"/>
  <c r="C1290" i="17"/>
  <c r="C1289" i="17"/>
  <c r="C1288" i="17"/>
  <c r="C1287" i="17"/>
  <c r="C1286" i="17"/>
  <c r="C1285" i="17"/>
  <c r="C1284" i="17"/>
  <c r="C1283" i="17"/>
  <c r="C1282" i="17"/>
  <c r="C1281" i="17"/>
  <c r="C1280" i="17"/>
  <c r="C1279" i="17"/>
  <c r="C1278" i="17"/>
  <c r="C1277" i="17"/>
  <c r="C1276" i="17"/>
  <c r="C1275" i="17"/>
  <c r="C1274" i="17"/>
  <c r="C1273" i="17"/>
  <c r="C1272" i="17"/>
  <c r="C1271" i="17"/>
  <c r="C1270" i="17"/>
  <c r="C1269" i="17"/>
  <c r="C1268" i="17"/>
  <c r="C1267" i="17"/>
  <c r="C1266" i="17"/>
  <c r="C1265" i="17"/>
  <c r="C1264" i="17"/>
  <c r="C1263" i="17"/>
  <c r="C1262" i="17"/>
  <c r="C1261" i="17"/>
  <c r="C1260" i="17"/>
  <c r="C1259" i="17"/>
  <c r="C1258" i="17"/>
  <c r="C1257" i="17"/>
  <c r="C1256" i="17"/>
  <c r="C1255" i="17"/>
  <c r="C1254" i="17"/>
  <c r="C1253" i="17"/>
  <c r="C1252" i="17"/>
  <c r="C1251" i="17"/>
  <c r="C1250" i="17"/>
  <c r="C1249" i="17"/>
  <c r="C1248" i="17"/>
  <c r="C1247" i="17"/>
  <c r="C1246" i="17"/>
  <c r="C1245" i="17"/>
  <c r="C1244" i="17"/>
  <c r="C1243" i="17"/>
  <c r="C1242" i="17"/>
  <c r="C1241" i="17"/>
  <c r="C1240" i="17"/>
  <c r="C1239" i="17"/>
  <c r="C1238" i="17"/>
  <c r="C1237" i="17"/>
  <c r="C1236" i="17"/>
  <c r="C1235" i="17"/>
  <c r="C1234" i="17"/>
  <c r="C1233" i="17"/>
  <c r="C1232" i="17"/>
  <c r="C1231" i="17"/>
  <c r="C1230" i="17"/>
  <c r="C1229" i="17"/>
  <c r="C1228" i="17"/>
  <c r="C1227" i="17"/>
  <c r="C1226" i="17"/>
  <c r="C1225" i="17"/>
  <c r="C1224" i="17"/>
  <c r="C1223" i="17"/>
  <c r="C1222" i="17"/>
  <c r="C1221" i="17"/>
  <c r="C1220" i="17"/>
  <c r="C1219" i="17"/>
  <c r="C1218" i="17"/>
  <c r="C1217" i="17"/>
  <c r="C1216" i="17"/>
  <c r="C1215" i="17"/>
  <c r="C1214" i="17"/>
  <c r="C1213" i="17"/>
  <c r="C1212" i="17"/>
  <c r="C1211" i="17"/>
  <c r="C1210" i="17"/>
  <c r="C1209" i="17"/>
  <c r="C1208" i="17"/>
  <c r="C1207" i="17"/>
  <c r="C1206" i="17"/>
  <c r="C1205" i="17"/>
  <c r="C1204" i="17"/>
  <c r="C1203" i="17"/>
  <c r="C1202" i="17"/>
  <c r="C1201" i="17"/>
  <c r="C1200" i="17"/>
  <c r="C1199" i="17"/>
  <c r="C1198" i="17"/>
  <c r="C1197" i="17"/>
  <c r="C1196" i="17"/>
  <c r="C1195" i="17"/>
  <c r="C1194" i="17"/>
  <c r="C1193" i="17"/>
  <c r="C1192" i="17"/>
  <c r="C1191" i="17"/>
  <c r="C1190" i="17"/>
  <c r="C1189" i="17"/>
  <c r="C1188" i="17"/>
  <c r="C1187" i="17"/>
  <c r="C1186" i="17"/>
  <c r="C1185" i="17"/>
  <c r="C1184" i="17"/>
  <c r="C1183" i="17"/>
  <c r="C1182" i="17"/>
  <c r="C1181" i="17"/>
  <c r="C1180" i="17"/>
  <c r="C1179" i="17"/>
  <c r="C1178" i="17"/>
  <c r="C1177" i="17"/>
  <c r="C1176" i="17"/>
  <c r="C1175" i="17"/>
  <c r="C1174" i="17"/>
  <c r="C1173" i="17"/>
  <c r="C1172" i="17"/>
  <c r="C1171" i="17"/>
  <c r="C1170" i="17"/>
  <c r="C1169" i="17"/>
  <c r="C1168" i="17"/>
  <c r="C1167" i="17"/>
  <c r="C1166" i="17"/>
  <c r="C1165" i="17"/>
  <c r="C1164" i="17"/>
  <c r="C1163" i="17"/>
  <c r="C1162" i="17"/>
  <c r="C1161" i="17"/>
  <c r="C1160" i="17"/>
  <c r="C1159" i="17"/>
  <c r="C1158" i="17"/>
  <c r="C1157" i="17"/>
  <c r="C1156" i="17"/>
  <c r="C1155" i="17"/>
  <c r="C1154" i="17"/>
  <c r="C1153" i="17"/>
  <c r="C1152" i="17"/>
  <c r="C1151" i="17"/>
  <c r="C1150" i="17"/>
  <c r="C1149" i="17"/>
  <c r="C1148" i="17"/>
  <c r="C1147" i="17"/>
  <c r="C1146" i="17"/>
  <c r="C1145" i="17"/>
  <c r="C1144" i="17"/>
  <c r="C1143" i="17"/>
  <c r="C1142" i="17"/>
  <c r="C1141" i="17"/>
  <c r="C1140" i="17"/>
  <c r="C1139" i="17"/>
  <c r="C1138" i="17"/>
  <c r="C1137" i="17"/>
  <c r="C1136" i="17"/>
  <c r="C1135" i="17"/>
  <c r="C1134" i="17"/>
  <c r="C1133" i="17"/>
  <c r="C1132" i="17"/>
  <c r="C1131" i="17"/>
  <c r="C1130" i="17"/>
  <c r="C1129" i="17"/>
  <c r="C1128" i="17"/>
  <c r="C1127" i="17"/>
  <c r="C1126" i="17"/>
  <c r="C1125" i="17"/>
  <c r="C1124" i="17"/>
  <c r="C1123" i="17"/>
  <c r="C1122" i="17"/>
  <c r="C1121" i="17"/>
  <c r="C1120" i="17"/>
  <c r="C1119" i="17"/>
  <c r="C1118" i="17"/>
  <c r="C1117" i="17"/>
  <c r="C1116" i="17"/>
  <c r="C1115" i="17"/>
  <c r="C1114" i="17"/>
  <c r="C1113" i="17"/>
  <c r="C1112" i="17"/>
  <c r="C1111" i="17"/>
  <c r="C1110" i="17"/>
  <c r="C1109" i="17"/>
  <c r="C1108" i="17"/>
  <c r="C1107" i="17"/>
  <c r="C1106" i="17"/>
  <c r="C1105" i="17"/>
  <c r="C1104" i="17"/>
  <c r="C1103" i="17"/>
  <c r="C1102" i="17"/>
  <c r="C1101" i="17"/>
  <c r="C1100" i="17"/>
  <c r="C1099" i="17"/>
  <c r="C1098" i="17"/>
  <c r="C1097" i="17"/>
  <c r="C1096" i="17"/>
  <c r="C1095" i="17"/>
  <c r="C1094" i="17"/>
  <c r="C1093" i="17"/>
  <c r="C1092" i="17"/>
  <c r="C1091" i="17"/>
  <c r="C1090" i="17"/>
  <c r="C1089" i="17"/>
  <c r="C1088" i="17"/>
  <c r="C1087" i="17"/>
  <c r="C1086" i="17"/>
  <c r="C1085" i="17"/>
  <c r="C1084" i="17"/>
  <c r="C1083" i="17"/>
  <c r="C1082" i="17"/>
  <c r="C1081" i="17"/>
  <c r="C1080" i="17"/>
  <c r="C1079" i="17"/>
  <c r="C1078" i="17"/>
  <c r="C1077" i="17"/>
  <c r="C1076" i="17"/>
  <c r="C1075" i="17"/>
  <c r="C1074" i="17"/>
  <c r="C1073" i="17"/>
  <c r="C1072" i="17"/>
  <c r="C1071" i="17"/>
  <c r="C1070" i="17"/>
  <c r="C1069" i="17"/>
  <c r="C1068" i="17"/>
  <c r="C1067" i="17"/>
  <c r="C1066" i="17"/>
  <c r="C1065" i="17"/>
  <c r="C1064" i="17"/>
  <c r="C1063" i="17"/>
  <c r="C1062" i="17"/>
  <c r="C1061" i="17"/>
  <c r="C1060" i="17"/>
  <c r="C1059" i="17"/>
  <c r="C1058" i="17"/>
  <c r="C1057" i="17"/>
  <c r="C1056" i="17"/>
  <c r="C1055" i="17"/>
  <c r="C1054" i="17"/>
  <c r="C1053" i="17"/>
  <c r="C1052" i="17"/>
  <c r="C1051" i="17"/>
  <c r="C1050" i="17"/>
  <c r="C1049" i="17"/>
  <c r="C1048" i="17"/>
  <c r="C1047" i="17"/>
  <c r="C1046" i="17"/>
  <c r="C1045" i="17"/>
  <c r="C1044" i="17"/>
  <c r="C1043" i="17"/>
  <c r="C1042" i="17"/>
  <c r="C1041" i="17"/>
  <c r="C1040" i="17"/>
  <c r="C1039" i="17"/>
  <c r="C1038" i="17"/>
  <c r="C1037" i="17"/>
  <c r="C1036" i="17"/>
  <c r="C1035" i="17"/>
  <c r="C1034" i="17"/>
  <c r="C1033" i="17"/>
  <c r="C1032" i="17"/>
  <c r="C1031" i="17"/>
  <c r="C1030" i="17"/>
  <c r="C1029" i="17"/>
  <c r="C1028" i="17"/>
  <c r="C1027" i="17"/>
  <c r="C1026" i="17"/>
  <c r="C1025" i="17"/>
  <c r="C1024" i="17"/>
  <c r="C1023" i="17"/>
  <c r="C1022" i="17"/>
  <c r="C1021" i="17"/>
  <c r="C1020" i="17"/>
  <c r="C1019" i="17"/>
  <c r="C1018" i="17"/>
  <c r="C1017" i="17"/>
  <c r="C1016" i="17"/>
  <c r="C1015" i="17"/>
  <c r="C1014" i="17"/>
  <c r="C1013" i="17"/>
  <c r="C1012" i="17"/>
  <c r="C1011" i="17"/>
  <c r="C1010" i="17"/>
  <c r="C1009" i="17"/>
  <c r="C1008" i="17"/>
  <c r="C1007" i="17"/>
  <c r="C1006" i="17"/>
  <c r="C1005" i="17"/>
  <c r="C1004" i="17"/>
  <c r="C1003" i="17"/>
  <c r="C1002" i="17"/>
  <c r="C1001" i="17"/>
  <c r="C1000" i="17"/>
  <c r="C999" i="17"/>
  <c r="C998" i="17"/>
  <c r="C997" i="17"/>
  <c r="C996" i="17"/>
  <c r="C995" i="17"/>
  <c r="C994" i="17"/>
  <c r="C993" i="17"/>
  <c r="C992" i="17"/>
  <c r="C991" i="17"/>
  <c r="C990" i="17"/>
  <c r="C989" i="17"/>
  <c r="C988" i="17"/>
  <c r="C987" i="17"/>
  <c r="C986" i="17"/>
  <c r="C985" i="17"/>
  <c r="C984" i="17"/>
  <c r="C983" i="17"/>
  <c r="C982" i="17"/>
  <c r="C981" i="17"/>
  <c r="C980" i="17"/>
  <c r="C979" i="17"/>
  <c r="C978" i="17"/>
  <c r="C977" i="17"/>
  <c r="C976" i="17"/>
  <c r="C975" i="17"/>
  <c r="C974" i="17"/>
  <c r="C973" i="17"/>
  <c r="C972" i="17"/>
  <c r="C971" i="17"/>
  <c r="C970" i="17"/>
  <c r="C969" i="17"/>
  <c r="C968" i="17"/>
  <c r="C967" i="17"/>
  <c r="C966" i="17"/>
  <c r="C965" i="17"/>
  <c r="C964" i="17"/>
  <c r="C963" i="17"/>
  <c r="C962" i="17"/>
  <c r="C961" i="17"/>
  <c r="C960" i="17"/>
  <c r="C959" i="17"/>
  <c r="C958" i="17"/>
  <c r="C957" i="17"/>
  <c r="C956" i="17"/>
  <c r="C955" i="17"/>
  <c r="C954" i="17"/>
  <c r="C953" i="17"/>
  <c r="C952" i="17"/>
  <c r="C951" i="17"/>
  <c r="C950" i="17"/>
  <c r="C949" i="17"/>
  <c r="C948" i="17"/>
  <c r="C947" i="17"/>
  <c r="C946" i="17"/>
  <c r="C945" i="17"/>
  <c r="C944" i="17"/>
  <c r="C943" i="17"/>
  <c r="C942" i="17"/>
  <c r="C941" i="17"/>
  <c r="C940" i="17"/>
  <c r="C939" i="17"/>
  <c r="C938" i="17"/>
  <c r="C937" i="17"/>
  <c r="C936" i="17"/>
  <c r="C935" i="17"/>
  <c r="C934" i="17"/>
  <c r="C933" i="17"/>
  <c r="C932" i="17"/>
  <c r="C931" i="17"/>
  <c r="C930" i="17"/>
  <c r="C929" i="17"/>
  <c r="C928" i="17"/>
  <c r="C927" i="17"/>
  <c r="C926" i="17"/>
  <c r="C925" i="17"/>
  <c r="C924" i="17"/>
  <c r="C923" i="17"/>
  <c r="C922" i="17"/>
  <c r="C921" i="17"/>
  <c r="C920" i="17"/>
  <c r="C919" i="17"/>
  <c r="C918" i="17"/>
  <c r="C917" i="17"/>
  <c r="C916" i="17"/>
  <c r="C915" i="17"/>
  <c r="C914" i="17"/>
  <c r="C913" i="17"/>
  <c r="C912" i="17"/>
  <c r="C911" i="17"/>
  <c r="C910" i="17"/>
  <c r="C909" i="17"/>
  <c r="C908" i="17"/>
  <c r="C907" i="17"/>
  <c r="C906" i="17"/>
  <c r="C905" i="17"/>
  <c r="C904" i="17"/>
  <c r="C903" i="17"/>
  <c r="C902" i="17"/>
  <c r="C901" i="17"/>
  <c r="C900" i="17"/>
  <c r="C899" i="17"/>
  <c r="C898" i="17"/>
  <c r="C897" i="17"/>
  <c r="C896" i="17"/>
  <c r="C895" i="17"/>
  <c r="C894" i="17"/>
  <c r="C893" i="17"/>
  <c r="C892" i="17"/>
  <c r="C891" i="17"/>
  <c r="C890" i="17"/>
  <c r="C889" i="17"/>
  <c r="C888" i="17"/>
  <c r="C887" i="17"/>
  <c r="C886" i="17"/>
  <c r="C885" i="17"/>
  <c r="C884" i="17"/>
  <c r="C883" i="17"/>
  <c r="C882" i="17"/>
  <c r="C881" i="17"/>
  <c r="C880" i="17"/>
  <c r="C879" i="17"/>
  <c r="C878" i="17"/>
  <c r="C877" i="17"/>
  <c r="C876" i="17"/>
  <c r="C875" i="17"/>
  <c r="C874" i="17"/>
  <c r="C873" i="17"/>
  <c r="C872" i="17"/>
  <c r="C871" i="17"/>
  <c r="C870" i="17"/>
  <c r="C869" i="17"/>
  <c r="C868" i="17"/>
  <c r="C867" i="17"/>
  <c r="C866" i="17"/>
  <c r="C865" i="17"/>
  <c r="C864" i="17"/>
  <c r="C863" i="17"/>
  <c r="C862" i="17"/>
  <c r="C861" i="17"/>
  <c r="C860" i="17"/>
  <c r="C859" i="17"/>
  <c r="C858" i="17"/>
  <c r="C857" i="17"/>
  <c r="C856" i="17"/>
  <c r="C855" i="17"/>
  <c r="C854" i="17"/>
  <c r="C853" i="17"/>
  <c r="C852" i="17"/>
  <c r="C851" i="17"/>
  <c r="C850" i="17"/>
  <c r="C849" i="17"/>
  <c r="C848" i="17"/>
  <c r="C847" i="17"/>
  <c r="C846" i="17"/>
  <c r="C845" i="17"/>
  <c r="C844" i="17"/>
  <c r="C843" i="17"/>
  <c r="C842" i="17"/>
  <c r="C841" i="17"/>
  <c r="C840" i="17"/>
  <c r="C839" i="17"/>
  <c r="C838" i="17"/>
  <c r="C837" i="17"/>
  <c r="C836" i="17"/>
  <c r="C835" i="17"/>
  <c r="C834" i="17"/>
  <c r="C833" i="17"/>
  <c r="C832" i="17"/>
  <c r="C831" i="17"/>
  <c r="C830" i="17"/>
  <c r="C829" i="17"/>
  <c r="C828" i="17"/>
  <c r="C827" i="17"/>
  <c r="C826" i="17"/>
  <c r="C825" i="17"/>
  <c r="C824" i="17"/>
  <c r="C823" i="17"/>
  <c r="C822" i="17"/>
  <c r="C821" i="17"/>
  <c r="C820" i="17"/>
  <c r="C819" i="17"/>
  <c r="C818" i="17"/>
  <c r="C817" i="17"/>
  <c r="C816" i="17"/>
  <c r="C815" i="17"/>
  <c r="C814" i="17"/>
  <c r="C813" i="17"/>
  <c r="C812" i="17"/>
  <c r="C811" i="17"/>
  <c r="C810" i="17"/>
  <c r="C809" i="17"/>
  <c r="C808" i="17"/>
  <c r="C807" i="17"/>
  <c r="C806" i="17"/>
  <c r="C805" i="17"/>
  <c r="C804" i="17"/>
  <c r="C803" i="17"/>
  <c r="C802" i="17"/>
  <c r="C801" i="17"/>
  <c r="C800" i="17"/>
  <c r="C799" i="17"/>
  <c r="C798" i="17"/>
  <c r="C797" i="17"/>
  <c r="C796" i="17"/>
  <c r="C795" i="17"/>
  <c r="C794" i="17"/>
  <c r="C793" i="17"/>
  <c r="C792" i="17"/>
  <c r="C791" i="17"/>
  <c r="C790" i="17"/>
  <c r="C789" i="17"/>
  <c r="C788" i="17"/>
  <c r="C787" i="17"/>
  <c r="C786" i="17"/>
  <c r="C785" i="17"/>
  <c r="C784" i="17"/>
  <c r="C783" i="17"/>
  <c r="C782" i="17"/>
  <c r="C781" i="17"/>
  <c r="C780" i="17"/>
  <c r="C779" i="17"/>
  <c r="C778" i="17"/>
  <c r="C777" i="17"/>
  <c r="C776" i="17"/>
  <c r="C775" i="17"/>
  <c r="C774" i="17"/>
  <c r="C773" i="17"/>
  <c r="C772" i="17"/>
  <c r="C771" i="17"/>
  <c r="C770" i="17"/>
  <c r="C769" i="17"/>
  <c r="C768" i="17"/>
  <c r="C767" i="17"/>
  <c r="C766" i="17"/>
  <c r="C765" i="17"/>
  <c r="C764" i="17"/>
  <c r="C763" i="17"/>
  <c r="C762" i="17"/>
  <c r="C761" i="17"/>
  <c r="C760" i="17"/>
  <c r="C759" i="17"/>
  <c r="C758" i="17"/>
  <c r="C757" i="17"/>
  <c r="C756" i="17"/>
  <c r="C755" i="17"/>
  <c r="C754" i="17"/>
  <c r="C753" i="17"/>
  <c r="C752" i="17"/>
  <c r="C751" i="17"/>
  <c r="C750" i="17"/>
  <c r="C749" i="17"/>
  <c r="C748" i="17"/>
  <c r="C747" i="17"/>
  <c r="C746" i="17"/>
  <c r="C745" i="17"/>
  <c r="C744" i="17"/>
  <c r="C743" i="17"/>
  <c r="C742" i="17"/>
  <c r="C741" i="17"/>
  <c r="C740" i="17"/>
  <c r="C739" i="17"/>
  <c r="C738" i="17"/>
  <c r="C737" i="17"/>
  <c r="C736" i="17"/>
  <c r="C735" i="17"/>
  <c r="C734" i="17"/>
  <c r="C733" i="17"/>
  <c r="C732" i="17"/>
  <c r="C731" i="17"/>
  <c r="C730" i="17"/>
  <c r="C729" i="17"/>
  <c r="C728" i="17"/>
  <c r="C727" i="17"/>
  <c r="C726" i="17"/>
  <c r="C725" i="17"/>
  <c r="C724" i="17"/>
  <c r="C723" i="17"/>
  <c r="C722" i="17"/>
  <c r="C721" i="17"/>
  <c r="C720" i="17"/>
  <c r="C719" i="17"/>
  <c r="C718" i="17"/>
  <c r="C717" i="17"/>
  <c r="C716" i="17"/>
  <c r="C715" i="17"/>
  <c r="C714" i="17"/>
  <c r="C713" i="17"/>
  <c r="C712" i="17"/>
  <c r="C711" i="17"/>
  <c r="C710" i="17"/>
  <c r="C709" i="17"/>
  <c r="C708" i="17"/>
  <c r="C707" i="17"/>
  <c r="C706" i="17"/>
  <c r="C705" i="17"/>
  <c r="C704" i="17"/>
  <c r="C703" i="17"/>
  <c r="C702" i="17"/>
  <c r="C701" i="17"/>
  <c r="C700" i="17"/>
  <c r="C699" i="17"/>
  <c r="C698" i="17"/>
  <c r="C697" i="17"/>
  <c r="C696" i="17"/>
  <c r="C695" i="17"/>
  <c r="C694" i="17"/>
  <c r="C693" i="17"/>
  <c r="C692" i="17"/>
  <c r="C691" i="17"/>
  <c r="C690" i="17"/>
  <c r="C689" i="17"/>
  <c r="C688" i="17"/>
  <c r="C687" i="17"/>
  <c r="C686" i="17"/>
  <c r="C685" i="17"/>
  <c r="C684" i="17"/>
  <c r="C683" i="17"/>
  <c r="C682" i="17"/>
  <c r="C681" i="17"/>
  <c r="C680" i="17"/>
  <c r="C679" i="17"/>
  <c r="C678" i="17"/>
  <c r="C677" i="17"/>
  <c r="C676" i="17"/>
  <c r="C675" i="17"/>
  <c r="C674" i="17"/>
  <c r="C673" i="17"/>
  <c r="C672" i="17"/>
  <c r="C671" i="17"/>
  <c r="C670" i="17"/>
  <c r="C669" i="17"/>
  <c r="C668" i="17"/>
  <c r="C667" i="17"/>
  <c r="C666" i="17"/>
  <c r="C665" i="17"/>
  <c r="C664" i="17"/>
  <c r="C663" i="17"/>
  <c r="C662" i="17"/>
  <c r="C661" i="17"/>
  <c r="C660" i="17"/>
  <c r="C659" i="17"/>
  <c r="C658" i="17"/>
  <c r="C657" i="17"/>
  <c r="C656" i="17"/>
  <c r="C655" i="17"/>
  <c r="C654" i="17"/>
  <c r="C653" i="17"/>
  <c r="C652" i="17"/>
  <c r="C651" i="17"/>
  <c r="C650" i="17"/>
  <c r="C649" i="17"/>
  <c r="C648" i="17"/>
  <c r="C647" i="17"/>
  <c r="C646" i="17"/>
  <c r="C645" i="17"/>
  <c r="C644" i="17"/>
  <c r="C643" i="17"/>
  <c r="C642" i="17"/>
  <c r="C641" i="17"/>
  <c r="C640" i="17"/>
  <c r="C639" i="17"/>
  <c r="C638" i="17"/>
  <c r="C637" i="17"/>
  <c r="C636" i="17"/>
  <c r="C635" i="17"/>
  <c r="C634" i="17"/>
  <c r="C633" i="17"/>
  <c r="C632" i="17"/>
  <c r="C631" i="17"/>
  <c r="C630" i="17"/>
  <c r="C629" i="17"/>
  <c r="C628" i="17"/>
  <c r="C627" i="17"/>
  <c r="C626" i="17"/>
  <c r="C625" i="17"/>
  <c r="C624" i="17"/>
  <c r="C623" i="17"/>
  <c r="C622" i="17"/>
  <c r="C621" i="17"/>
  <c r="C620" i="17"/>
  <c r="C619" i="17"/>
  <c r="C618" i="17"/>
  <c r="C617" i="17"/>
  <c r="C616" i="17"/>
  <c r="C615" i="17"/>
  <c r="C614" i="17"/>
  <c r="C613" i="17"/>
  <c r="C612" i="17"/>
  <c r="C611" i="17"/>
  <c r="C610" i="17"/>
  <c r="C609" i="17"/>
  <c r="C608" i="17"/>
  <c r="C607" i="17"/>
  <c r="C606" i="17"/>
  <c r="C605" i="17"/>
  <c r="C604" i="17"/>
  <c r="C603" i="17"/>
  <c r="C602" i="17"/>
  <c r="C601" i="17"/>
  <c r="C600" i="17"/>
  <c r="C599" i="17"/>
  <c r="C598" i="17"/>
  <c r="C597" i="17"/>
  <c r="C596" i="17"/>
  <c r="C595" i="17"/>
  <c r="C594" i="17"/>
  <c r="C593" i="17"/>
  <c r="C592" i="17"/>
  <c r="C591" i="17"/>
  <c r="C590" i="17"/>
  <c r="C589" i="17"/>
  <c r="C588" i="17"/>
  <c r="C587" i="17"/>
  <c r="C586" i="17"/>
  <c r="C585" i="17"/>
  <c r="C584" i="17"/>
  <c r="C583" i="17"/>
  <c r="C582" i="17"/>
  <c r="C581" i="17"/>
  <c r="C580" i="17"/>
  <c r="C579" i="17"/>
  <c r="C578" i="17"/>
  <c r="C577" i="17"/>
  <c r="C576" i="17"/>
  <c r="C575" i="17"/>
  <c r="C574" i="17"/>
  <c r="C573" i="17"/>
  <c r="C572" i="17"/>
  <c r="C571" i="17"/>
  <c r="C570" i="17"/>
  <c r="C569" i="17"/>
  <c r="C568" i="17"/>
  <c r="C567" i="17"/>
  <c r="C566" i="17"/>
  <c r="C565" i="17"/>
  <c r="C564" i="17"/>
  <c r="C563" i="17"/>
  <c r="C562" i="17"/>
  <c r="C561" i="17"/>
  <c r="C560" i="17"/>
  <c r="C559" i="17"/>
  <c r="C558" i="17"/>
  <c r="C557" i="17"/>
  <c r="C556" i="17"/>
  <c r="C555" i="17"/>
  <c r="C554" i="17"/>
  <c r="C553" i="17"/>
  <c r="C552" i="17"/>
  <c r="C551" i="17"/>
  <c r="C550" i="17"/>
  <c r="C549" i="17"/>
  <c r="C548" i="17"/>
  <c r="C547" i="17"/>
  <c r="C546" i="17"/>
  <c r="C545" i="17"/>
  <c r="C544" i="17"/>
  <c r="C543" i="17"/>
  <c r="C542" i="17"/>
  <c r="C541" i="17"/>
  <c r="C540" i="17"/>
  <c r="C539" i="17"/>
  <c r="C538" i="17"/>
  <c r="C537" i="17"/>
  <c r="C536" i="17"/>
  <c r="C535" i="17"/>
  <c r="C534" i="17"/>
  <c r="C533" i="17"/>
  <c r="C532" i="17"/>
  <c r="C531" i="17"/>
  <c r="C530" i="17"/>
  <c r="C529" i="17"/>
  <c r="C528" i="17"/>
  <c r="C527" i="17"/>
  <c r="C526" i="17"/>
  <c r="C525" i="17"/>
  <c r="C524" i="17"/>
  <c r="C523" i="17"/>
  <c r="C522" i="17"/>
  <c r="C521" i="17"/>
  <c r="C520" i="17"/>
  <c r="C519" i="17"/>
  <c r="C518" i="17"/>
  <c r="C517" i="17"/>
  <c r="C516" i="17"/>
  <c r="C515" i="17"/>
  <c r="C514" i="17"/>
  <c r="C513" i="17"/>
  <c r="C512" i="17"/>
  <c r="C511" i="17"/>
  <c r="C510" i="17"/>
  <c r="C509" i="17"/>
  <c r="C508" i="17"/>
  <c r="C507" i="17"/>
  <c r="C506" i="17"/>
  <c r="C505" i="17"/>
  <c r="C504" i="17"/>
  <c r="C503" i="17"/>
  <c r="C502" i="17"/>
  <c r="C501" i="17"/>
  <c r="C500" i="17"/>
  <c r="C499" i="17"/>
  <c r="C498" i="17"/>
  <c r="C497" i="17"/>
  <c r="C496" i="17"/>
  <c r="C495" i="17"/>
  <c r="C494" i="17"/>
  <c r="C493" i="17"/>
  <c r="C492" i="17"/>
  <c r="C491" i="17"/>
  <c r="C490" i="17"/>
  <c r="C489" i="17"/>
  <c r="C488" i="17"/>
  <c r="C487" i="17"/>
  <c r="C486" i="17"/>
  <c r="C485" i="17"/>
  <c r="C484" i="17"/>
  <c r="C483" i="17"/>
  <c r="C482" i="17"/>
  <c r="C481" i="17"/>
  <c r="C480" i="17"/>
  <c r="C479" i="17"/>
  <c r="C478" i="17"/>
  <c r="C477" i="17"/>
  <c r="C476" i="17"/>
  <c r="C475" i="17"/>
  <c r="C474" i="17"/>
  <c r="C473" i="17"/>
  <c r="C472" i="17"/>
  <c r="C471" i="17"/>
  <c r="C470" i="17"/>
  <c r="C469" i="17"/>
  <c r="C468" i="17"/>
  <c r="C467" i="17"/>
  <c r="C466" i="17"/>
  <c r="C465" i="17"/>
  <c r="C464" i="17"/>
  <c r="C463" i="17"/>
  <c r="C462" i="17"/>
  <c r="C461" i="17"/>
  <c r="C460" i="17"/>
  <c r="C459" i="17"/>
  <c r="C458" i="17"/>
  <c r="C457" i="17"/>
  <c r="C456" i="17"/>
  <c r="C455" i="17"/>
  <c r="C454" i="17"/>
  <c r="C453" i="17"/>
  <c r="C452" i="17"/>
  <c r="C451" i="17"/>
  <c r="C450" i="17"/>
  <c r="C449" i="17"/>
  <c r="C448" i="17"/>
  <c r="C447" i="17"/>
  <c r="C446" i="17"/>
  <c r="C445" i="17"/>
  <c r="C444" i="17"/>
  <c r="C443" i="17"/>
  <c r="C442" i="17"/>
  <c r="C441" i="17"/>
  <c r="C440" i="17"/>
  <c r="C439" i="17"/>
  <c r="C438" i="17"/>
  <c r="C437" i="17"/>
  <c r="C436" i="17"/>
  <c r="C435" i="17"/>
  <c r="C434" i="17"/>
  <c r="C433" i="17"/>
  <c r="C432" i="17"/>
  <c r="C431" i="17"/>
  <c r="C430" i="17"/>
  <c r="C429" i="17"/>
  <c r="C428" i="17"/>
  <c r="C427" i="17"/>
  <c r="C426" i="17"/>
  <c r="C425" i="17"/>
  <c r="C424" i="17"/>
  <c r="C423" i="17"/>
  <c r="C422" i="17"/>
  <c r="C421" i="17"/>
  <c r="C420" i="17"/>
  <c r="C419" i="17"/>
  <c r="C418" i="17"/>
  <c r="C417" i="17"/>
  <c r="C416" i="17"/>
  <c r="C415" i="17"/>
  <c r="C414" i="17"/>
  <c r="C413" i="17"/>
  <c r="C412" i="17"/>
  <c r="C411" i="17"/>
  <c r="C410" i="17"/>
  <c r="C409" i="17"/>
  <c r="C408" i="17"/>
  <c r="C407" i="17"/>
  <c r="C406" i="17"/>
  <c r="C405" i="17"/>
  <c r="C404" i="17"/>
  <c r="C403" i="17"/>
  <c r="C402" i="17"/>
  <c r="C401" i="17"/>
  <c r="C400" i="17"/>
  <c r="C399" i="17"/>
  <c r="C398" i="17"/>
  <c r="C397" i="17"/>
  <c r="C396" i="17"/>
  <c r="C395" i="17"/>
  <c r="C394" i="17"/>
  <c r="C393" i="17"/>
  <c r="C392" i="17"/>
  <c r="C391" i="17"/>
  <c r="C390" i="17"/>
  <c r="C389" i="17"/>
  <c r="C388" i="17"/>
  <c r="C387" i="17"/>
  <c r="C386" i="17"/>
  <c r="C385" i="17"/>
  <c r="C384" i="17"/>
  <c r="C383" i="17"/>
  <c r="C382" i="17"/>
  <c r="C381" i="17"/>
  <c r="C380" i="17"/>
  <c r="C379" i="17"/>
  <c r="C378" i="17"/>
  <c r="C377" i="17"/>
  <c r="C376" i="17"/>
  <c r="C375" i="17"/>
  <c r="C374" i="17"/>
  <c r="C373" i="17"/>
  <c r="C372" i="17"/>
  <c r="C371" i="17"/>
  <c r="C370" i="17"/>
  <c r="C369" i="17"/>
  <c r="C368" i="17"/>
  <c r="C367" i="17"/>
  <c r="C366" i="17"/>
  <c r="C365" i="17"/>
  <c r="C364" i="17"/>
  <c r="C363" i="17"/>
  <c r="C362" i="17"/>
  <c r="C361" i="17"/>
  <c r="C360" i="17"/>
  <c r="C359" i="17"/>
  <c r="C358" i="17"/>
  <c r="C357" i="17"/>
  <c r="C356" i="17"/>
  <c r="C355" i="17"/>
  <c r="C354" i="17"/>
  <c r="C353" i="17"/>
  <c r="C352" i="17"/>
  <c r="C351" i="17"/>
  <c r="C350" i="17"/>
  <c r="C349" i="17"/>
  <c r="C348" i="17"/>
  <c r="C347" i="17"/>
  <c r="C346" i="17"/>
  <c r="C345" i="17"/>
  <c r="C344" i="17"/>
  <c r="C343" i="17"/>
  <c r="C342" i="17"/>
  <c r="C341" i="17"/>
  <c r="C340" i="17"/>
  <c r="C339" i="17"/>
  <c r="C338" i="17"/>
  <c r="C337" i="17"/>
  <c r="C336" i="17"/>
  <c r="C335" i="17"/>
  <c r="C334" i="17"/>
  <c r="C333" i="17"/>
  <c r="C332" i="17"/>
  <c r="C331" i="17"/>
  <c r="C330" i="17"/>
  <c r="C329" i="17"/>
  <c r="C328" i="17"/>
  <c r="C327" i="17"/>
  <c r="C326" i="17"/>
  <c r="C325" i="17"/>
  <c r="C324" i="17"/>
  <c r="C323" i="17"/>
  <c r="C322" i="17"/>
  <c r="C321" i="17"/>
  <c r="C320" i="17"/>
  <c r="C319" i="17"/>
  <c r="C318" i="17"/>
  <c r="C317" i="17"/>
  <c r="C316" i="17"/>
  <c r="C315" i="17"/>
  <c r="C314" i="17"/>
  <c r="C313" i="17"/>
  <c r="C312" i="17"/>
  <c r="C311" i="17"/>
  <c r="C310" i="17"/>
  <c r="C309" i="17"/>
  <c r="C308" i="17"/>
  <c r="C307" i="17"/>
  <c r="C306" i="17"/>
  <c r="C305" i="17"/>
  <c r="C304" i="17"/>
  <c r="C303" i="17"/>
  <c r="C302" i="17"/>
  <c r="C301" i="17"/>
  <c r="C300" i="17"/>
  <c r="C299" i="17"/>
  <c r="C298" i="17"/>
  <c r="C297" i="17"/>
  <c r="C296" i="17"/>
  <c r="C295" i="17"/>
  <c r="C294" i="17"/>
  <c r="C293" i="17"/>
  <c r="C292" i="17"/>
  <c r="C291" i="17"/>
  <c r="C290" i="17"/>
  <c r="C289" i="17"/>
  <c r="C288" i="17"/>
  <c r="C287" i="17"/>
  <c r="C286" i="17"/>
  <c r="C285" i="17"/>
  <c r="C284" i="17"/>
  <c r="C283" i="17"/>
  <c r="C282" i="17"/>
  <c r="C281" i="17"/>
  <c r="C280" i="17"/>
  <c r="C279" i="17"/>
  <c r="C278" i="17"/>
  <c r="C277" i="17"/>
  <c r="C276" i="17"/>
  <c r="C275" i="17"/>
  <c r="C274" i="17"/>
  <c r="C273" i="17"/>
  <c r="C272" i="17"/>
  <c r="C271" i="17"/>
  <c r="C270" i="17"/>
  <c r="C269" i="17"/>
  <c r="C268" i="17"/>
  <c r="C267" i="17"/>
  <c r="C266" i="17"/>
  <c r="C265" i="17"/>
  <c r="C264" i="17"/>
  <c r="C263" i="17"/>
  <c r="C262" i="17"/>
  <c r="C261" i="17"/>
  <c r="C260" i="17"/>
  <c r="C259" i="17"/>
  <c r="C258" i="17"/>
  <c r="C257" i="17"/>
  <c r="C256" i="17"/>
  <c r="C255" i="17"/>
  <c r="C254" i="17"/>
  <c r="C253" i="17"/>
  <c r="C252" i="17"/>
  <c r="C251" i="17"/>
  <c r="C250" i="17"/>
  <c r="C249" i="17"/>
  <c r="C248" i="17"/>
  <c r="C247" i="17"/>
  <c r="C246" i="17"/>
  <c r="C245" i="17"/>
  <c r="C244" i="17"/>
  <c r="C243" i="17"/>
  <c r="C242" i="17"/>
  <c r="C241" i="17"/>
  <c r="C240" i="17"/>
  <c r="C239" i="17"/>
  <c r="C238" i="17"/>
  <c r="C237" i="17"/>
  <c r="C236" i="17"/>
  <c r="C235" i="17"/>
  <c r="C234" i="17"/>
  <c r="C233" i="17"/>
  <c r="C232" i="17"/>
  <c r="C231" i="17"/>
  <c r="C230" i="17"/>
  <c r="C229" i="17"/>
  <c r="C228" i="17"/>
  <c r="C227" i="17"/>
  <c r="C226" i="17"/>
  <c r="C225" i="17"/>
  <c r="C224" i="17"/>
  <c r="C223" i="17"/>
  <c r="C222" i="17"/>
  <c r="C221" i="17"/>
  <c r="C220" i="17"/>
  <c r="C219" i="17"/>
  <c r="C218" i="17"/>
  <c r="C217" i="17"/>
  <c r="C216" i="17"/>
  <c r="C215" i="17"/>
  <c r="C214" i="17"/>
  <c r="C213" i="17"/>
  <c r="C212" i="17"/>
  <c r="C211" i="17"/>
  <c r="C210" i="17"/>
  <c r="C209" i="17"/>
  <c r="C208" i="17"/>
  <c r="C207" i="17"/>
  <c r="C206" i="17"/>
  <c r="C205" i="17"/>
  <c r="C204" i="17"/>
  <c r="C203" i="17"/>
  <c r="C202" i="17"/>
  <c r="C201" i="17"/>
  <c r="C200" i="17"/>
  <c r="C199" i="17"/>
  <c r="C198" i="17"/>
  <c r="C197" i="17"/>
  <c r="C196" i="17"/>
  <c r="C195" i="17"/>
  <c r="C194" i="17"/>
  <c r="C193" i="17"/>
  <c r="C192" i="17"/>
  <c r="C191" i="17"/>
  <c r="C190" i="17"/>
  <c r="C189" i="17"/>
  <c r="C188" i="17"/>
  <c r="C187" i="17"/>
  <c r="C186" i="17"/>
  <c r="C185" i="17"/>
  <c r="C184" i="17"/>
  <c r="C183" i="17"/>
  <c r="C182" i="17"/>
  <c r="C181" i="17"/>
  <c r="C180" i="17"/>
  <c r="C179" i="17"/>
  <c r="C178" i="17"/>
  <c r="C177" i="17"/>
  <c r="C176" i="17"/>
  <c r="C175" i="17"/>
  <c r="C174" i="17"/>
  <c r="C173" i="17"/>
  <c r="C172" i="17"/>
  <c r="C171" i="17"/>
  <c r="C170" i="17"/>
  <c r="C169" i="17"/>
  <c r="C168" i="17"/>
  <c r="C167" i="17"/>
  <c r="C166" i="17"/>
  <c r="C165" i="17"/>
  <c r="C164" i="17"/>
  <c r="C163" i="17"/>
  <c r="C162" i="17"/>
  <c r="C161" i="17"/>
  <c r="C160" i="17"/>
  <c r="C159" i="17"/>
  <c r="C158" i="17"/>
  <c r="C157" i="17"/>
  <c r="C156" i="17"/>
  <c r="C155" i="17"/>
  <c r="C154" i="17"/>
  <c r="C153" i="17"/>
  <c r="C152" i="17"/>
  <c r="C151" i="17"/>
  <c r="C150" i="17"/>
  <c r="C149" i="17"/>
  <c r="C148" i="17"/>
  <c r="C147" i="17"/>
  <c r="C146" i="17"/>
  <c r="C145" i="17"/>
  <c r="C144" i="17"/>
  <c r="C143" i="17"/>
  <c r="C142" i="17"/>
  <c r="C141" i="17"/>
  <c r="C140" i="17"/>
  <c r="C139" i="17"/>
  <c r="C138" i="17"/>
  <c r="C137" i="17"/>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C3" i="17"/>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B176" i="10"/>
  <c r="D176" i="10" s="1"/>
  <c r="B175" i="10"/>
  <c r="D175" i="10" s="1"/>
  <c r="B174" i="10"/>
  <c r="D174" i="10" s="1"/>
  <c r="B173" i="10"/>
  <c r="D173" i="10" s="1"/>
  <c r="B172" i="10"/>
  <c r="D172" i="10" s="1"/>
  <c r="B171" i="10"/>
  <c r="D171" i="10" s="1"/>
  <c r="B170" i="10"/>
  <c r="D170" i="10" s="1"/>
  <c r="B169" i="10"/>
  <c r="D169" i="10" s="1"/>
  <c r="B168" i="10"/>
  <c r="D168" i="10" s="1"/>
  <c r="B167" i="10"/>
  <c r="D167" i="10" s="1"/>
  <c r="B166" i="10"/>
  <c r="D166" i="10" s="1"/>
  <c r="B165" i="10"/>
  <c r="D165" i="10" s="1"/>
  <c r="B164" i="10"/>
  <c r="D164" i="10" s="1"/>
  <c r="B163" i="10"/>
  <c r="D163" i="10" s="1"/>
  <c r="B162" i="10"/>
  <c r="D162" i="10" s="1"/>
  <c r="B161" i="10"/>
  <c r="D161" i="10" s="1"/>
  <c r="B160" i="10"/>
  <c r="D160" i="10" s="1"/>
  <c r="B159" i="10"/>
  <c r="D159" i="10" s="1"/>
  <c r="B158" i="10"/>
  <c r="D158" i="10" s="1"/>
  <c r="B157" i="10"/>
  <c r="D157" i="10" s="1"/>
  <c r="B156" i="10"/>
  <c r="D156" i="10" s="1"/>
  <c r="B155" i="10"/>
  <c r="D155" i="10" s="1"/>
  <c r="B154" i="10"/>
  <c r="D154" i="10" s="1"/>
  <c r="B153" i="10"/>
  <c r="D153" i="10" s="1"/>
  <c r="B152" i="10"/>
  <c r="D152" i="10" s="1"/>
  <c r="B151" i="10"/>
  <c r="D151" i="10" s="1"/>
  <c r="B150" i="10"/>
  <c r="D150" i="10" s="1"/>
  <c r="B149" i="10"/>
  <c r="D149" i="10" s="1"/>
  <c r="B148" i="10"/>
  <c r="D148" i="10" s="1"/>
  <c r="B147" i="10"/>
  <c r="D147" i="10" s="1"/>
  <c r="B146" i="10"/>
  <c r="D146" i="10" s="1"/>
  <c r="B145" i="10"/>
  <c r="D145" i="10" s="1"/>
  <c r="B144" i="10"/>
  <c r="D144" i="10" s="1"/>
  <c r="B143" i="10"/>
  <c r="D143" i="10" s="1"/>
  <c r="B142" i="10"/>
  <c r="D142" i="10" s="1"/>
  <c r="B141" i="10"/>
  <c r="D141" i="10" s="1"/>
  <c r="B140" i="10"/>
  <c r="D140" i="10" s="1"/>
  <c r="B139" i="10"/>
  <c r="D139" i="10" s="1"/>
  <c r="B138" i="10"/>
  <c r="D138" i="10" s="1"/>
  <c r="B137" i="10"/>
  <c r="D137" i="10" s="1"/>
  <c r="B136" i="10"/>
  <c r="D136" i="10" s="1"/>
  <c r="B135" i="10"/>
  <c r="D135" i="10" s="1"/>
  <c r="B134" i="10"/>
  <c r="D134" i="10" s="1"/>
  <c r="B133" i="10"/>
  <c r="D133" i="10" s="1"/>
  <c r="B132" i="10"/>
  <c r="D132" i="10" s="1"/>
  <c r="B131" i="10"/>
  <c r="D131" i="10" s="1"/>
  <c r="B130" i="10"/>
  <c r="D130" i="10" s="1"/>
  <c r="B129" i="10"/>
  <c r="D129" i="10" s="1"/>
  <c r="B128" i="10"/>
  <c r="D128" i="10" s="1"/>
  <c r="B127" i="10"/>
  <c r="D127" i="10" s="1"/>
  <c r="B126" i="10"/>
  <c r="D126" i="10" s="1"/>
  <c r="B125" i="10"/>
  <c r="D125" i="10" s="1"/>
  <c r="B124" i="10"/>
  <c r="D124" i="10" s="1"/>
  <c r="B123" i="10"/>
  <c r="D123" i="10" s="1"/>
  <c r="B122" i="10"/>
  <c r="D122" i="10" s="1"/>
  <c r="B121" i="10"/>
  <c r="D121" i="10" s="1"/>
  <c r="B120" i="10"/>
  <c r="D120" i="10" s="1"/>
  <c r="B119" i="10"/>
  <c r="D119" i="10" s="1"/>
  <c r="B118" i="10"/>
  <c r="D118" i="10" s="1"/>
  <c r="B117" i="10"/>
  <c r="D117" i="10" s="1"/>
  <c r="B116" i="10"/>
  <c r="D116" i="10" s="1"/>
  <c r="B115" i="10"/>
  <c r="D115" i="10" s="1"/>
  <c r="B114" i="10"/>
  <c r="D114" i="10" s="1"/>
  <c r="B113" i="10"/>
  <c r="D113" i="10" s="1"/>
  <c r="B112" i="10"/>
  <c r="D112" i="10" s="1"/>
  <c r="B111" i="10"/>
  <c r="D111" i="10" s="1"/>
  <c r="B110" i="10"/>
  <c r="D110" i="10" s="1"/>
  <c r="B109" i="10"/>
  <c r="D109" i="10" s="1"/>
  <c r="B108" i="10"/>
  <c r="D108" i="10" s="1"/>
  <c r="B107" i="10"/>
  <c r="D107" i="10" s="1"/>
  <c r="B106" i="10"/>
  <c r="D106" i="10" s="1"/>
  <c r="B105" i="10"/>
  <c r="D105" i="10" s="1"/>
  <c r="B104" i="10"/>
  <c r="D104" i="10" s="1"/>
  <c r="B103" i="10"/>
  <c r="D103" i="10" s="1"/>
  <c r="B102" i="10"/>
  <c r="D102" i="10" s="1"/>
  <c r="B101" i="10"/>
  <c r="D101" i="10" s="1"/>
  <c r="B100" i="10"/>
  <c r="D100" i="10" s="1"/>
  <c r="B99" i="10"/>
  <c r="D99" i="10" s="1"/>
  <c r="B98" i="10"/>
  <c r="D98" i="10" s="1"/>
  <c r="B97" i="10"/>
  <c r="D97" i="10" s="1"/>
  <c r="B96" i="10"/>
  <c r="D96" i="10" s="1"/>
  <c r="B95" i="10"/>
  <c r="D95" i="10" s="1"/>
  <c r="B94" i="10"/>
  <c r="D94" i="10" s="1"/>
  <c r="B93" i="10"/>
  <c r="D93" i="10" s="1"/>
  <c r="B92" i="10"/>
  <c r="D92" i="10" s="1"/>
  <c r="B91" i="10"/>
  <c r="D91" i="10" s="1"/>
  <c r="B90" i="10"/>
  <c r="D90" i="10" s="1"/>
  <c r="B89" i="10"/>
  <c r="D89" i="10" s="1"/>
  <c r="B88" i="10"/>
  <c r="D88" i="10" s="1"/>
  <c r="B87" i="10"/>
  <c r="D87" i="10" s="1"/>
  <c r="B86" i="10"/>
  <c r="D86" i="10" s="1"/>
  <c r="B85" i="10"/>
  <c r="D85" i="10" s="1"/>
  <c r="B84" i="10"/>
  <c r="D84" i="10" s="1"/>
  <c r="B83" i="10"/>
  <c r="D83" i="10" s="1"/>
  <c r="B82" i="10"/>
  <c r="D82" i="10" s="1"/>
  <c r="B81" i="10"/>
  <c r="D81" i="10" s="1"/>
  <c r="B80" i="10"/>
  <c r="D80" i="10" s="1"/>
  <c r="B79" i="10"/>
  <c r="D79" i="10" s="1"/>
  <c r="B78" i="10"/>
  <c r="D78" i="10" s="1"/>
  <c r="B77" i="10"/>
  <c r="D77" i="10" s="1"/>
  <c r="B76" i="10"/>
  <c r="D76" i="10" s="1"/>
  <c r="B75" i="10"/>
  <c r="D75" i="10" s="1"/>
  <c r="B74" i="10"/>
  <c r="D74" i="10" s="1"/>
  <c r="B73" i="10"/>
  <c r="D73" i="10" s="1"/>
  <c r="B72" i="10"/>
  <c r="D72" i="10" s="1"/>
  <c r="B71" i="10"/>
  <c r="D71" i="10" s="1"/>
  <c r="B70" i="10"/>
  <c r="D70" i="10" s="1"/>
  <c r="B69" i="10"/>
  <c r="D69" i="10" s="1"/>
  <c r="B68" i="10"/>
  <c r="D68" i="10" s="1"/>
  <c r="B67" i="10"/>
  <c r="D67" i="10" s="1"/>
  <c r="B66" i="10"/>
  <c r="D66" i="10" s="1"/>
  <c r="B65" i="10"/>
  <c r="D65" i="10" s="1"/>
  <c r="B64" i="10"/>
  <c r="D64" i="10" s="1"/>
  <c r="B63" i="10"/>
  <c r="D63" i="10" s="1"/>
  <c r="B62" i="10"/>
  <c r="D62" i="10" s="1"/>
  <c r="B61" i="10"/>
  <c r="D61" i="10" s="1"/>
  <c r="B60" i="10"/>
  <c r="D60" i="10" s="1"/>
  <c r="B59" i="10"/>
  <c r="D59" i="10" s="1"/>
  <c r="B58" i="10"/>
  <c r="D58" i="10" s="1"/>
  <c r="B57" i="10"/>
  <c r="D57" i="10" s="1"/>
  <c r="B56" i="10"/>
  <c r="D56" i="10" s="1"/>
  <c r="B55" i="10"/>
  <c r="D55" i="10" s="1"/>
  <c r="B54" i="10"/>
  <c r="D54" i="10" s="1"/>
  <c r="B53" i="10"/>
  <c r="D53" i="10" s="1"/>
  <c r="B52" i="10"/>
  <c r="D52" i="10" s="1"/>
  <c r="B51" i="10"/>
  <c r="D51" i="10" s="1"/>
  <c r="B50" i="10"/>
  <c r="D50" i="10" s="1"/>
  <c r="B49" i="10"/>
  <c r="D49" i="10" s="1"/>
  <c r="B48" i="10"/>
  <c r="D48" i="10" s="1"/>
  <c r="B47" i="10"/>
  <c r="D47" i="10" s="1"/>
  <c r="B46" i="10"/>
  <c r="D46" i="10" s="1"/>
  <c r="B45" i="10"/>
  <c r="D45" i="10" s="1"/>
  <c r="B44" i="10"/>
  <c r="D44" i="10" s="1"/>
  <c r="B43" i="10"/>
  <c r="D43" i="10" s="1"/>
  <c r="B42" i="10"/>
  <c r="D42" i="10" s="1"/>
  <c r="B41" i="10"/>
  <c r="D41" i="10" s="1"/>
  <c r="B40" i="10"/>
  <c r="D40" i="10" s="1"/>
  <c r="B39" i="10"/>
  <c r="D39" i="10" s="1"/>
  <c r="B38" i="10"/>
  <c r="D38" i="10" s="1"/>
  <c r="B37" i="10"/>
  <c r="D37" i="10" s="1"/>
  <c r="B36" i="10"/>
  <c r="D36" i="10" s="1"/>
  <c r="B35" i="10"/>
  <c r="D35" i="10" s="1"/>
  <c r="B34" i="10"/>
  <c r="D34" i="10" s="1"/>
  <c r="B33" i="10"/>
  <c r="D33" i="10" s="1"/>
  <c r="B32" i="10"/>
  <c r="D32" i="10" s="1"/>
  <c r="B31" i="10"/>
  <c r="D31" i="10" s="1"/>
  <c r="B30" i="10"/>
  <c r="D30" i="10" s="1"/>
  <c r="B29" i="10"/>
  <c r="D29" i="10" s="1"/>
  <c r="B28" i="10"/>
  <c r="D28" i="10" s="1"/>
  <c r="B27" i="10"/>
  <c r="D27" i="10" s="1"/>
  <c r="B26" i="10"/>
  <c r="D26" i="10" s="1"/>
  <c r="B25" i="10"/>
  <c r="D25" i="10" s="1"/>
  <c r="B24" i="10"/>
  <c r="D24" i="10" s="1"/>
  <c r="B23" i="10"/>
  <c r="D23" i="10" s="1"/>
  <c r="B22" i="10"/>
  <c r="D22" i="10" s="1"/>
  <c r="B21" i="10"/>
  <c r="D21" i="10" s="1"/>
  <c r="B20" i="10"/>
  <c r="D20" i="10" s="1"/>
  <c r="B19" i="10"/>
  <c r="D19" i="10" s="1"/>
  <c r="B18" i="10"/>
  <c r="D18" i="10" s="1"/>
  <c r="B17" i="10"/>
  <c r="D17" i="10" s="1"/>
  <c r="B16" i="10"/>
  <c r="D16" i="10" s="1"/>
  <c r="B15" i="10"/>
  <c r="D15" i="10" s="1"/>
  <c r="B14" i="10"/>
  <c r="D14" i="10" s="1"/>
  <c r="B13" i="10"/>
  <c r="D13" i="10" s="1"/>
  <c r="B12" i="10"/>
  <c r="D12" i="10" s="1"/>
  <c r="B11" i="10"/>
  <c r="D11" i="10" s="1"/>
  <c r="B10" i="10"/>
  <c r="D10" i="10" s="1"/>
  <c r="B9" i="10"/>
  <c r="D9" i="10" s="1"/>
  <c r="B8" i="10"/>
  <c r="D8" i="10" s="1"/>
  <c r="B7" i="10"/>
  <c r="D7" i="10" s="1"/>
  <c r="B6" i="10"/>
  <c r="D6" i="10" s="1"/>
  <c r="B5" i="10"/>
  <c r="D5" i="10" s="1"/>
  <c r="B4" i="10"/>
  <c r="D4" i="10" s="1"/>
  <c r="B3" i="10"/>
  <c r="D3" i="10" s="1"/>
  <c r="B2" i="10"/>
  <c r="D2" i="10" s="1"/>
  <c r="F72" i="9" l="1"/>
  <c r="C69" i="9"/>
  <c r="C48" i="9"/>
  <c r="C8" i="9"/>
  <c r="C24" i="9" s="1"/>
  <c r="C13" i="9"/>
  <c r="C29" i="9" s="1"/>
  <c r="C40" i="9"/>
  <c r="C45" i="9"/>
  <c r="H56" i="9"/>
  <c r="C10" i="9"/>
  <c r="C26" i="9" s="1"/>
  <c r="C15" i="9"/>
  <c r="C31" i="9" s="1"/>
  <c r="C42" i="9"/>
  <c r="C11" i="9"/>
  <c r="C27" i="9" s="1"/>
  <c r="C16" i="9"/>
  <c r="C32" i="9" s="1"/>
  <c r="C43" i="9"/>
  <c r="I47" i="9"/>
  <c r="I31" i="9" s="1"/>
  <c r="C9" i="9"/>
  <c r="C25" i="9" s="1"/>
  <c r="C14" i="9"/>
  <c r="C30" i="9" s="1"/>
  <c r="C41" i="9"/>
  <c r="I48" i="9" l="1"/>
  <c r="I32" i="9" s="1"/>
  <c r="H58" i="9"/>
  <c r="F109" i="9" s="1"/>
  <c r="I46" i="9"/>
  <c r="I30" i="9" s="1"/>
  <c r="E56" i="9"/>
  <c r="F101" i="9" s="1"/>
  <c r="B56" i="9"/>
  <c r="F94" i="9" s="1"/>
  <c r="I40" i="9"/>
  <c r="I24" i="9" s="1"/>
  <c r="I58" i="9"/>
  <c r="E109" i="9" s="1"/>
  <c r="I56" i="9"/>
  <c r="E108" i="9" s="1"/>
  <c r="F56" i="9"/>
  <c r="E101" i="9" s="1"/>
  <c r="I10" i="9"/>
  <c r="C47" i="9"/>
  <c r="F10" i="9"/>
  <c r="C46" i="9"/>
  <c r="F9" i="9"/>
  <c r="F8" i="9"/>
  <c r="F41" i="9"/>
  <c r="F25" i="9" s="1"/>
  <c r="F11" i="9"/>
  <c r="F15" i="9"/>
  <c r="F16" i="9"/>
  <c r="F46" i="9"/>
  <c r="F30" i="9" s="1"/>
  <c r="F13" i="9"/>
  <c r="F14" i="9"/>
  <c r="F40" i="9"/>
  <c r="F24" i="9" s="1"/>
  <c r="F45" i="9"/>
  <c r="F29" i="9" s="1"/>
  <c r="F47" i="9"/>
  <c r="F31" i="9" s="1"/>
  <c r="F42" i="9"/>
  <c r="F26" i="9" s="1"/>
  <c r="F43" i="9"/>
  <c r="F27" i="9" s="1"/>
  <c r="I16" i="9"/>
  <c r="I13" i="9"/>
  <c r="I41" i="9"/>
  <c r="I25" i="9" s="1"/>
  <c r="F48" i="9"/>
  <c r="F32" i="9" s="1"/>
  <c r="I11" i="9"/>
  <c r="E58" i="9"/>
  <c r="F102" i="9" s="1"/>
  <c r="I15" i="9"/>
  <c r="I9" i="9"/>
  <c r="I45" i="9"/>
  <c r="I29" i="9" s="1"/>
  <c r="C56" i="9"/>
  <c r="E94" i="9" s="1"/>
  <c r="I43" i="9"/>
  <c r="I27" i="9" s="1"/>
  <c r="B58" i="9"/>
  <c r="F95" i="9" s="1"/>
  <c r="I14" i="9"/>
  <c r="I8" i="9"/>
  <c r="I42" i="9"/>
  <c r="I26" i="9" s="1"/>
  <c r="F58" i="9"/>
  <c r="E102" i="9" s="1"/>
  <c r="C12" i="9"/>
  <c r="C28" i="9" s="1"/>
  <c r="C58" i="9"/>
  <c r="E95" i="9" s="1"/>
  <c r="C7" i="9"/>
  <c r="C23" i="9" s="1"/>
  <c r="C39" i="9"/>
  <c r="F75" i="9" s="1"/>
  <c r="F108" i="9"/>
  <c r="H60" i="9" l="1"/>
  <c r="F110" i="9" s="1"/>
  <c r="I60" i="9"/>
  <c r="E110" i="9" s="1"/>
  <c r="I39" i="9"/>
  <c r="I23" i="9" s="1"/>
  <c r="E87" i="9" s="1"/>
  <c r="C44" i="9"/>
  <c r="F76" i="9" s="1"/>
  <c r="F7" i="9"/>
  <c r="F12" i="9"/>
  <c r="B60" i="9"/>
  <c r="F96" i="9" s="1"/>
  <c r="E60" i="9"/>
  <c r="F103" i="9" s="1"/>
  <c r="F44" i="9"/>
  <c r="F28" i="9" s="1"/>
  <c r="F39" i="9"/>
  <c r="F81" i="9" s="1"/>
  <c r="I12" i="9"/>
  <c r="I7" i="9"/>
  <c r="I44" i="9"/>
  <c r="F88" i="9" s="1"/>
  <c r="F60" i="9"/>
  <c r="E103" i="9" s="1"/>
  <c r="E76" i="9"/>
  <c r="H76" i="9" s="1"/>
  <c r="C60" i="9"/>
  <c r="E96" i="9" s="1"/>
  <c r="C6" i="9"/>
  <c r="E77" i="9" s="1"/>
  <c r="H77" i="9" s="1"/>
  <c r="E75" i="9"/>
  <c r="H75" i="9" s="1"/>
  <c r="F82" i="9" l="1"/>
  <c r="C38" i="9"/>
  <c r="F77" i="9" s="1"/>
  <c r="F87" i="9"/>
  <c r="E82" i="9"/>
  <c r="H82" i="9" s="1"/>
  <c r="F6" i="9"/>
  <c r="I38" i="9"/>
  <c r="I22" i="9" s="1"/>
  <c r="E89" i="9" s="1"/>
  <c r="I28" i="9"/>
  <c r="E88" i="9" s="1"/>
  <c r="F38" i="9"/>
  <c r="F22" i="9" s="1"/>
  <c r="F23" i="9"/>
  <c r="E81" i="9" s="1"/>
  <c r="H81" i="9" s="1"/>
  <c r="I6" i="9"/>
  <c r="C22" i="9"/>
  <c r="E78" i="9"/>
  <c r="F83" i="9" l="1"/>
  <c r="E83" i="9"/>
  <c r="H83" i="9" s="1"/>
  <c r="E84" i="9"/>
  <c r="F89" i="9"/>
</calcChain>
</file>

<file path=xl/comments1.xml><?xml version="1.0" encoding="utf-8"?>
<comments xmlns="http://schemas.openxmlformats.org/spreadsheetml/2006/main">
  <authors>
    <author>Watts, Alan (NHS Property Services)</author>
  </authors>
  <commentList>
    <comment ref="A57" authorId="0">
      <text>
        <r>
          <rPr>
            <b/>
            <sz val="9"/>
            <color indexed="81"/>
            <rFont val="Tahoma"/>
            <family val="2"/>
          </rPr>
          <t>Watts, Alan (NHS Property Services):</t>
        </r>
        <r>
          <rPr>
            <sz val="9"/>
            <color indexed="81"/>
            <rFont val="Tahoma"/>
            <family val="2"/>
          </rPr>
          <t xml:space="preserve">
Corrected from ID2654</t>
        </r>
      </text>
    </comment>
    <comment ref="A144" authorId="0">
      <text>
        <r>
          <rPr>
            <b/>
            <sz val="9"/>
            <color indexed="81"/>
            <rFont val="Tahoma"/>
            <family val="2"/>
          </rPr>
          <t>Watts, Alan (NHS Property Services):</t>
        </r>
        <r>
          <rPr>
            <sz val="9"/>
            <color indexed="81"/>
            <rFont val="Tahoma"/>
            <family val="2"/>
          </rPr>
          <t xml:space="preserve">
Corrected from 686 - Helen Stubbs</t>
        </r>
      </text>
    </comment>
  </commentList>
</comments>
</file>

<file path=xl/comments2.xml><?xml version="1.0" encoding="utf-8"?>
<comments xmlns="http://schemas.openxmlformats.org/spreadsheetml/2006/main">
  <authors>
    <author>Watts, Alan (NHS Property Services)</author>
  </authors>
  <commentList>
    <comment ref="A168" authorId="0">
      <text>
        <r>
          <rPr>
            <b/>
            <sz val="9"/>
            <color indexed="81"/>
            <rFont val="Tahoma"/>
            <family val="2"/>
          </rPr>
          <t>Watts, Alan (NHS Property Services):</t>
        </r>
        <r>
          <rPr>
            <sz val="9"/>
            <color indexed="81"/>
            <rFont val="Tahoma"/>
            <family val="2"/>
          </rPr>
          <t xml:space="preserve">
Corrected from 686 - Helen Stubbs</t>
        </r>
      </text>
    </comment>
  </commentList>
</comments>
</file>

<file path=xl/comments3.xml><?xml version="1.0" encoding="utf-8"?>
<comments xmlns="http://schemas.openxmlformats.org/spreadsheetml/2006/main">
  <authors>
    <author>Watts, Alan (NHS Property Services)</author>
  </authors>
  <commentList>
    <comment ref="A168" authorId="0">
      <text>
        <r>
          <rPr>
            <b/>
            <sz val="9"/>
            <color indexed="81"/>
            <rFont val="Tahoma"/>
            <family val="2"/>
          </rPr>
          <t>Watts, Alan (NHS Property Services):</t>
        </r>
        <r>
          <rPr>
            <sz val="9"/>
            <color indexed="81"/>
            <rFont val="Tahoma"/>
            <family val="2"/>
          </rPr>
          <t xml:space="preserve">
Corrected from 686 - Helen Stubbs</t>
        </r>
      </text>
    </comment>
  </commentList>
</comments>
</file>

<file path=xl/comments4.xml><?xml version="1.0" encoding="utf-8"?>
<comments xmlns="http://schemas.openxmlformats.org/spreadsheetml/2006/main">
  <authors>
    <author>Watts, Alan (NHS Property Services)</author>
  </authors>
  <commentList>
    <comment ref="A168" authorId="0">
      <text>
        <r>
          <rPr>
            <b/>
            <sz val="9"/>
            <color indexed="81"/>
            <rFont val="Tahoma"/>
            <family val="2"/>
          </rPr>
          <t>Watts, Alan (NHS Property Services):</t>
        </r>
        <r>
          <rPr>
            <sz val="9"/>
            <color indexed="81"/>
            <rFont val="Tahoma"/>
            <family val="2"/>
          </rPr>
          <t xml:space="preserve">
Corrected from 686 - Helen Stubbs</t>
        </r>
      </text>
    </comment>
  </commentList>
</comments>
</file>

<file path=xl/sharedStrings.xml><?xml version="1.0" encoding="utf-8"?>
<sst xmlns="http://schemas.openxmlformats.org/spreadsheetml/2006/main" count="13189" uniqueCount="4565">
  <si>
    <t>PropID</t>
  </si>
  <si>
    <t>Ledger Code</t>
  </si>
  <si>
    <t>Property Name</t>
  </si>
  <si>
    <t>Postcode</t>
  </si>
  <si>
    <t>Region</t>
  </si>
  <si>
    <t>Area</t>
  </si>
  <si>
    <t>Full Cost Centre (AR)</t>
  </si>
  <si>
    <t>Christchurch House</t>
  </si>
  <si>
    <t>CV1 2GQ</t>
  </si>
  <si>
    <t>Midlands &amp; East</t>
  </si>
  <si>
    <t>West Midlands</t>
  </si>
  <si>
    <t>Parkside House</t>
  </si>
  <si>
    <t>CV1 2NJ</t>
  </si>
  <si>
    <t>Vaughan Building</t>
  </si>
  <si>
    <t>HR2 9RP</t>
  </si>
  <si>
    <t>William Farr House</t>
  </si>
  <si>
    <t>SY3 8XL</t>
  </si>
  <si>
    <t>Halesfield 6</t>
  </si>
  <si>
    <t>TF7 4BF</t>
  </si>
  <si>
    <t>Westgate House</t>
  </si>
  <si>
    <t>CV34 4DE</t>
  </si>
  <si>
    <t>Wildwood</t>
  </si>
  <si>
    <t>WR5 2LG</t>
  </si>
  <si>
    <t>The Triangle</t>
  </si>
  <si>
    <t>Bewley House</t>
  </si>
  <si>
    <t>SN15 1JW</t>
  </si>
  <si>
    <t>South</t>
  </si>
  <si>
    <t>North (south)</t>
  </si>
  <si>
    <t>St Martins Hospital</t>
  </si>
  <si>
    <t>BA2 5RP</t>
  </si>
  <si>
    <t>Sanger House</t>
  </si>
  <si>
    <t>GL3 4FE</t>
  </si>
  <si>
    <t>priory road medical centre</t>
  </si>
  <si>
    <t>SN3 2EZ</t>
  </si>
  <si>
    <t>Southgate House</t>
  </si>
  <si>
    <t>SN10 5EQ</t>
  </si>
  <si>
    <t>Aston Pride Community Health Centre</t>
  </si>
  <si>
    <t>B6 5HA</t>
  </si>
  <si>
    <t>Bartholomew House</t>
  </si>
  <si>
    <t>B16 9PA</t>
  </si>
  <si>
    <t>Sandwell HQ</t>
  </si>
  <si>
    <t>B70 9LD</t>
  </si>
  <si>
    <t>Shirley Road Health Centre</t>
  </si>
  <si>
    <t>B27 7NP</t>
  </si>
  <si>
    <t>Jubilee House</t>
  </si>
  <si>
    <t>WS2 7JL</t>
  </si>
  <si>
    <t>Castlewood Phase 2</t>
  </si>
  <si>
    <t>BS21 6FW</t>
  </si>
  <si>
    <t>West (south)</t>
  </si>
  <si>
    <t>Mallard Court Express Park</t>
  </si>
  <si>
    <t>TA6 4RN</t>
  </si>
  <si>
    <t>South Plaza (Lower Ground, First, Fourth, Fifth &amp; Sixth Floors)</t>
  </si>
  <si>
    <t>BS31 3NX</t>
  </si>
  <si>
    <t>Wynford House</t>
  </si>
  <si>
    <t>BA22 8HR</t>
  </si>
  <si>
    <t>Bevan House &amp; John Snow House</t>
  </si>
  <si>
    <t>CW5 5QU</t>
  </si>
  <si>
    <t>North</t>
  </si>
  <si>
    <t>Central</t>
  </si>
  <si>
    <t>Clark House</t>
  </si>
  <si>
    <t>SK10 2LU</t>
  </si>
  <si>
    <t>Quayside Building (Car Spaces)</t>
  </si>
  <si>
    <t>WA4 6HL</t>
  </si>
  <si>
    <t>1829 Building</t>
  </si>
  <si>
    <t>CH2 1HJ</t>
  </si>
  <si>
    <t>Quayside Building part</t>
  </si>
  <si>
    <t>Old Market House</t>
  </si>
  <si>
    <t>CH41 5AL</t>
  </si>
  <si>
    <t>Partnership House</t>
  </si>
  <si>
    <t>NE3 3AF</t>
  </si>
  <si>
    <t>North England</t>
  </si>
  <si>
    <t>4 Wavell Drive</t>
  </si>
  <si>
    <t>CA1 2SE</t>
  </si>
  <si>
    <t>ANNE BURROWS THOMAS HEALTH CENTRE</t>
  </si>
  <si>
    <t>CA14 2ED</t>
  </si>
  <si>
    <t>STAFFORD HOUSE</t>
  </si>
  <si>
    <t>LA14 5EX</t>
  </si>
  <si>
    <t>RIDLEY HOUSE</t>
  </si>
  <si>
    <t>NE3 3LS</t>
  </si>
  <si>
    <t>The Old Telephone Exchange</t>
  </si>
  <si>
    <t>DL3 7DR</t>
  </si>
  <si>
    <t>Cardinal Square</t>
  </si>
  <si>
    <t>DE1 3QT</t>
  </si>
  <si>
    <t>East Midlands</t>
  </si>
  <si>
    <t>Scarsdale</t>
  </si>
  <si>
    <t>S41 7PF</t>
  </si>
  <si>
    <t>Birch House</t>
  </si>
  <si>
    <t>NG21 HJ</t>
  </si>
  <si>
    <t>Peninsula House</t>
  </si>
  <si>
    <t>PL12 6LD</t>
  </si>
  <si>
    <t>Sedgemoor Centre</t>
  </si>
  <si>
    <t>PL25 5AS</t>
  </si>
  <si>
    <t>Appleton House</t>
  </si>
  <si>
    <t>DH1 5XZ</t>
  </si>
  <si>
    <t>Teesdale House</t>
  </si>
  <si>
    <t>TS17 6LB</t>
  </si>
  <si>
    <t>Beccles HQ &amp; Warehouse</t>
  </si>
  <si>
    <t>NR34 9BN</t>
  </si>
  <si>
    <t>East Of England</t>
  </si>
  <si>
    <t>Paper Mill Farm</t>
  </si>
  <si>
    <t>IP8 4DE</t>
  </si>
  <si>
    <t>Lakeside</t>
  </si>
  <si>
    <t>NR7 0WG</t>
  </si>
  <si>
    <t>Makro Car Park Lakeside Overflow</t>
  </si>
  <si>
    <t>NR7 0WE</t>
  </si>
  <si>
    <t>Collingwood Road</t>
  </si>
  <si>
    <t>CM8 2TT</t>
  </si>
  <si>
    <t>Swift House</t>
  </si>
  <si>
    <t>CM2 5PF</t>
  </si>
  <si>
    <t>Phoenix House (Main Block)</t>
  </si>
  <si>
    <t>SS14 3HG</t>
  </si>
  <si>
    <t>Phoenix House (Suite 5)</t>
  </si>
  <si>
    <t>Phoenix House (Unit 6)</t>
  </si>
  <si>
    <t>SS14 3EZ</t>
  </si>
  <si>
    <t>St James House (4th Floor Front Wing)</t>
  </si>
  <si>
    <t>M6 5FW</t>
  </si>
  <si>
    <t>Silver Street Health Centre</t>
  </si>
  <si>
    <t>BL9 0EN</t>
  </si>
  <si>
    <t>Sherwood Business Park</t>
  </si>
  <si>
    <t>OL11 2PA</t>
  </si>
  <si>
    <t>Alexandra Park Health Centre</t>
  </si>
  <si>
    <t>M16 7AP</t>
  </si>
  <si>
    <t>Burnage Health Centre</t>
  </si>
  <si>
    <t>M19 1EW</t>
  </si>
  <si>
    <t>Charlestown Road Health Centre</t>
  </si>
  <si>
    <t>M9 7ED</t>
  </si>
  <si>
    <t>City Works Business Park</t>
  </si>
  <si>
    <t>M11 2NB</t>
  </si>
  <si>
    <t>Clayton Health Centre</t>
  </si>
  <si>
    <t>M11 4EJ</t>
  </si>
  <si>
    <t>The Cornerstone Centre</t>
  </si>
  <si>
    <t>M11 3AA</t>
  </si>
  <si>
    <t>Harpurhey Health Centre</t>
  </si>
  <si>
    <t>M9 4BE</t>
  </si>
  <si>
    <t>Levenshulme Health Centre</t>
  </si>
  <si>
    <t>M19 3BX</t>
  </si>
  <si>
    <t>Moss Side Health Centre</t>
  </si>
  <si>
    <t>M14 4GP</t>
  </si>
  <si>
    <t>Northenden Health Centre</t>
  </si>
  <si>
    <t>M22 4DH</t>
  </si>
  <si>
    <t>Rusholme Health Centre</t>
  </si>
  <si>
    <t>M14 5NP</t>
  </si>
  <si>
    <t>Waulk Mill</t>
  </si>
  <si>
    <t>M4 6LN</t>
  </si>
  <si>
    <t>Withington Clinic</t>
  </si>
  <si>
    <t>M20 4BA</t>
  </si>
  <si>
    <t>Wythenshawe Offices</t>
  </si>
  <si>
    <t>M22 4PJ</t>
  </si>
  <si>
    <t>Lance Burn Health Centre</t>
  </si>
  <si>
    <t>M6 5QX</t>
  </si>
  <si>
    <t>Ordsall Health Centre</t>
  </si>
  <si>
    <t>M5 3PH</t>
  </si>
  <si>
    <t>Sandringham House</t>
  </si>
  <si>
    <t>M5 4DG</t>
  </si>
  <si>
    <t>St James House (Mezzanine Floor Front Wing)</t>
  </si>
  <si>
    <t>St. James House</t>
  </si>
  <si>
    <t>St James House (7th Floor Front Wing)</t>
  </si>
  <si>
    <t>St James House (3rd Floor Front Wing)</t>
  </si>
  <si>
    <t>Millennium House</t>
  </si>
  <si>
    <t>M34 2GP</t>
  </si>
  <si>
    <t>New Century House</t>
  </si>
  <si>
    <t>Conway Road Health Centre</t>
  </si>
  <si>
    <t>M33 2TB</t>
  </si>
  <si>
    <t>Oakland House 2nd Floor</t>
  </si>
  <si>
    <t>M16 0PQ</t>
  </si>
  <si>
    <t>Charter House</t>
  </si>
  <si>
    <t>AL8 6JL</t>
  </si>
  <si>
    <t>Sherwood House Bletchley</t>
  </si>
  <si>
    <t>MK3 6RT</t>
  </si>
  <si>
    <t>Shipley Court</t>
  </si>
  <si>
    <t>MK16 8EA</t>
  </si>
  <si>
    <t>Francis Crick House</t>
  </si>
  <si>
    <t>NN3 6BF</t>
  </si>
  <si>
    <t>Brook House</t>
  </si>
  <si>
    <t>CT5 3QT</t>
  </si>
  <si>
    <t>East (south)</t>
  </si>
  <si>
    <t>Kent House</t>
  </si>
  <si>
    <t>TN23 1PJ</t>
  </si>
  <si>
    <t>Faith House</t>
  </si>
  <si>
    <t>ME14 1LL</t>
  </si>
  <si>
    <t>Palace Industrial Estate</t>
  </si>
  <si>
    <t>ME15 9XU</t>
  </si>
  <si>
    <t>Wharf House</t>
  </si>
  <si>
    <t>TN9 1RE</t>
  </si>
  <si>
    <t>Preston Business Centre</t>
  </si>
  <si>
    <t>PR2 8DY</t>
  </si>
  <si>
    <t>West (north)</t>
  </si>
  <si>
    <t>Astra Business Centre (Unit 7)</t>
  </si>
  <si>
    <t>PR2 5AP</t>
  </si>
  <si>
    <t>Croston House Offices</t>
  </si>
  <si>
    <t>PR26 6RU</t>
  </si>
  <si>
    <t>PR26 6TR</t>
  </si>
  <si>
    <t>LASCA</t>
  </si>
  <si>
    <t>PR2 9ZZ</t>
  </si>
  <si>
    <t>ODGH Hilldale Unit</t>
  </si>
  <si>
    <t>L39 2JW</t>
  </si>
  <si>
    <t>Preston Healthport</t>
  </si>
  <si>
    <t>PR2 8DW</t>
  </si>
  <si>
    <t>Moor Lane Mills</t>
  </si>
  <si>
    <t>LA1 1QD</t>
  </si>
  <si>
    <t>Wesham Park Hospital</t>
  </si>
  <si>
    <t>PR4 3AL</t>
  </si>
  <si>
    <t>St Johns House (3rd Floor)</t>
  </si>
  <si>
    <t>LE1 6NB</t>
  </si>
  <si>
    <t>Fosse House</t>
  </si>
  <si>
    <t>LE19 1SX</t>
  </si>
  <si>
    <t>Cross OCliff Court</t>
  </si>
  <si>
    <t>LN4 2HN</t>
  </si>
  <si>
    <t>Fen House</t>
  </si>
  <si>
    <t>LN6 8UZ</t>
  </si>
  <si>
    <t>Fort Barnes Warehouse</t>
  </si>
  <si>
    <t>LN6 9AP</t>
  </si>
  <si>
    <t>Venture House</t>
  </si>
  <si>
    <t>PE21 7TW</t>
  </si>
  <si>
    <t>Bevan House</t>
  </si>
  <si>
    <t>L13 1HD</t>
  </si>
  <si>
    <t>Regatta Place</t>
  </si>
  <si>
    <t>L3 4BL</t>
  </si>
  <si>
    <t>Stephenson House</t>
  </si>
  <si>
    <t>NW1 2PL</t>
  </si>
  <si>
    <t>London</t>
  </si>
  <si>
    <t>North, Central And Eastern London</t>
  </si>
  <si>
    <t>Clifton House</t>
  </si>
  <si>
    <t>EC2A 2EJ</t>
  </si>
  <si>
    <t>Becketts House</t>
  </si>
  <si>
    <t>IG1 2QX</t>
  </si>
  <si>
    <t>Hillingdon HQ</t>
  </si>
  <si>
    <t>UB7 7HJ</t>
  </si>
  <si>
    <t>North West London</t>
  </si>
  <si>
    <t>Ferguson House</t>
  </si>
  <si>
    <t>NW1 5JD</t>
  </si>
  <si>
    <t>Alpha Court</t>
  </si>
  <si>
    <t>YO32 9WN</t>
  </si>
  <si>
    <t>Yorkshire</t>
  </si>
  <si>
    <t>Health House</t>
  </si>
  <si>
    <t>HU10 6DT</t>
  </si>
  <si>
    <t>Health Place</t>
  </si>
  <si>
    <t>DN2 8GS</t>
  </si>
  <si>
    <t>Anglesey House</t>
  </si>
  <si>
    <t>WS15 1UL</t>
  </si>
  <si>
    <t>Heron House</t>
  </si>
  <si>
    <t>ST4 4LX</t>
  </si>
  <si>
    <t>Lower Marsh</t>
  </si>
  <si>
    <t>SE1 7NT</t>
  </si>
  <si>
    <t>South London</t>
  </si>
  <si>
    <t>Cantilever House</t>
  </si>
  <si>
    <t>SE12 8RN</t>
  </si>
  <si>
    <t>The Broadway</t>
  </si>
  <si>
    <t>SW19 1RH</t>
  </si>
  <si>
    <t>Hillder House</t>
  </si>
  <si>
    <t>S75 2PY</t>
  </si>
  <si>
    <t>Gresley House</t>
  </si>
  <si>
    <t>DN4 5HW</t>
  </si>
  <si>
    <t>White Rose House</t>
  </si>
  <si>
    <t>DN4 5DJ</t>
  </si>
  <si>
    <t>Oak House</t>
  </si>
  <si>
    <t>S66 1YY</t>
  </si>
  <si>
    <t>Prince of Wales Road</t>
  </si>
  <si>
    <t>S9 4EU</t>
  </si>
  <si>
    <t>Friars Walk</t>
  </si>
  <si>
    <t>BN7 2PA</t>
  </si>
  <si>
    <t>Brooklands House (Ground Floor)</t>
  </si>
  <si>
    <t>BN15 8AF</t>
  </si>
  <si>
    <t>The PCSS Surbiton Offices</t>
  </si>
  <si>
    <t>KT6 6AU</t>
  </si>
  <si>
    <t>The Causeway</t>
  </si>
  <si>
    <t>BN12 6BT</t>
  </si>
  <si>
    <t>Crawley Hospital</t>
  </si>
  <si>
    <t>RM11 7DH</t>
  </si>
  <si>
    <t>Bath Road</t>
  </si>
  <si>
    <t>RG30 2BA</t>
  </si>
  <si>
    <t>King Edward VII Hospital</t>
  </si>
  <si>
    <t>SL4 3DP</t>
  </si>
  <si>
    <t>Cremyll Road</t>
  </si>
  <si>
    <t>RG1 8NQ</t>
  </si>
  <si>
    <t>OX4 2LH</t>
  </si>
  <si>
    <t>Aldershot CfH</t>
  </si>
  <si>
    <t>GU11 1AY</t>
  </si>
  <si>
    <t>South (south)</t>
  </si>
  <si>
    <t>Coitbury House</t>
  </si>
  <si>
    <t>SO23 8BH</t>
  </si>
  <si>
    <t>Omega House</t>
  </si>
  <si>
    <t>SO50 5PB</t>
  </si>
  <si>
    <t>PPSA - Winnal Store</t>
  </si>
  <si>
    <t>SO23 7RX</t>
  </si>
  <si>
    <t>Oakley Road PCT Headquarters</t>
  </si>
  <si>
    <t>SO16 4GX</t>
  </si>
  <si>
    <t>Douglas Mill (4th Floor)</t>
  </si>
  <si>
    <t>BD5 7JR</t>
  </si>
  <si>
    <t>Douglas Mill (Ground Floor, Basement and Tower Room)</t>
  </si>
  <si>
    <t>Douglas Mill (2nd Floor)</t>
  </si>
  <si>
    <t>Douglas Mill (3rd Floor)</t>
  </si>
  <si>
    <t>Land Bradley Business Park</t>
  </si>
  <si>
    <t>HD2 1GZ</t>
  </si>
  <si>
    <t>Leeds City Office Park</t>
  </si>
  <si>
    <t>LS11 5BD</t>
  </si>
  <si>
    <t>Holmewood Health Centre</t>
  </si>
  <si>
    <t>BD4 9EE</t>
  </si>
  <si>
    <t>Broad Lea House</t>
  </si>
  <si>
    <t>South West House</t>
  </si>
  <si>
    <t>TA1 2PX</t>
  </si>
  <si>
    <t>Victoria House East Wing</t>
  </si>
  <si>
    <t>CB21 5XB</t>
  </si>
  <si>
    <t>Victoria House West Wing</t>
  </si>
  <si>
    <t>Southside (Mezzanine)</t>
  </si>
  <si>
    <t>SW1E 6QT</t>
  </si>
  <si>
    <t>Bourne House</t>
  </si>
  <si>
    <t>DH1 1TH</t>
  </si>
  <si>
    <t>Waterfront 4 (1st Floor)</t>
  </si>
  <si>
    <t>NE15 8NY</t>
  </si>
  <si>
    <t>Waterfront 4 (Ground Floor)</t>
  </si>
  <si>
    <t>Waterfront 4 (2nd Floor)</t>
  </si>
  <si>
    <t>Rivergate House</t>
  </si>
  <si>
    <t>RG14 2PZ</t>
  </si>
  <si>
    <t>York House</t>
  </si>
  <si>
    <t>RH6 7DE</t>
  </si>
  <si>
    <t>St Chads Court</t>
  </si>
  <si>
    <t>B16 9RG</t>
  </si>
  <si>
    <t>Brunswick Court</t>
  </si>
  <si>
    <t>LS2 7RJ</t>
  </si>
  <si>
    <t>Regent House N33</t>
  </si>
  <si>
    <t>SK4 1BS</t>
  </si>
  <si>
    <t>Issac Maddox House</t>
  </si>
  <si>
    <t>Rushbrook House</t>
  </si>
  <si>
    <t>Warehouse K</t>
  </si>
  <si>
    <t>E16 1DR</t>
  </si>
  <si>
    <t>Edgware Community Hospital</t>
  </si>
  <si>
    <t>Gables, Massetts Road</t>
  </si>
  <si>
    <t>RH6 7DQ</t>
  </si>
  <si>
    <t>West Swindon HC</t>
  </si>
  <si>
    <t>SN5 7DL</t>
  </si>
  <si>
    <t>Century House</t>
  </si>
  <si>
    <t>Sentinel House</t>
  </si>
  <si>
    <t>M30 0NJ</t>
  </si>
  <si>
    <t>St Peters House</t>
  </si>
  <si>
    <t>BL1 1PP</t>
  </si>
  <si>
    <t>RIVERSIDE HOUSE - 2ND FLOOR</t>
  </si>
  <si>
    <t>Riverside House - Unit 17/18 now 20 for CSU</t>
  </si>
  <si>
    <t>TS2 1RH</t>
  </si>
  <si>
    <t>Triune Court</t>
  </si>
  <si>
    <t>YO32 9GZ</t>
  </si>
  <si>
    <t>Tenacre Court</t>
  </si>
  <si>
    <t>Corum Park</t>
  </si>
  <si>
    <t>BS3 8FJ</t>
  </si>
  <si>
    <t>2013 Q1</t>
  </si>
  <si>
    <t>2013 Q2</t>
  </si>
  <si>
    <t>2013 Q3</t>
  </si>
  <si>
    <t>2013 Q4</t>
  </si>
  <si>
    <t>2014 Q1</t>
  </si>
  <si>
    <t>2014 Q2</t>
  </si>
  <si>
    <t>2014 Q3</t>
  </si>
  <si>
    <t>2014 Q4</t>
  </si>
  <si>
    <t/>
  </si>
  <si>
    <t>Q1 2013/14</t>
  </si>
  <si>
    <t>Q2 2013/14</t>
  </si>
  <si>
    <t>Q3 2013/14</t>
  </si>
  <si>
    <t>Q4 2013/14</t>
  </si>
  <si>
    <t>Q1 2014/15</t>
  </si>
  <si>
    <t>Q2 2014/15</t>
  </si>
  <si>
    <t>Q3 2014/15</t>
  </si>
  <si>
    <t>Q4 2014/15</t>
  </si>
  <si>
    <t>Gas - Consumption</t>
  </si>
  <si>
    <t>Gas - Cost from NHSPS Finance</t>
  </si>
  <si>
    <t>3 Piccadilly Place (Part 5th Floor)</t>
  </si>
  <si>
    <t>M1 3BN</t>
  </si>
  <si>
    <t>3 Piccadilly Place (4th Floor)</t>
  </si>
  <si>
    <t>Southside (2nd Floor)</t>
  </si>
  <si>
    <t>Southside (4th Floor)</t>
  </si>
  <si>
    <t>Electricity</t>
  </si>
  <si>
    <t>Total kw/h</t>
  </si>
  <si>
    <t>2013/14 Total</t>
  </si>
  <si>
    <t>Q1</t>
  </si>
  <si>
    <t>Q2</t>
  </si>
  <si>
    <t>Q3</t>
  </si>
  <si>
    <t>Q4</t>
  </si>
  <si>
    <t>2014/15 Total</t>
  </si>
  <si>
    <t>Select Property:</t>
  </si>
  <si>
    <t>Gas</t>
  </si>
  <si>
    <t>2013 Q1 (£)</t>
  </si>
  <si>
    <t>2013 Q2 (£)</t>
  </si>
  <si>
    <t>2014 Q1 (£)</t>
  </si>
  <si>
    <t>2014 Q2 (£)</t>
  </si>
  <si>
    <t>2014 Q3 (£)</t>
  </si>
  <si>
    <t>2014 Q4 (£)</t>
  </si>
  <si>
    <t>2013 Q3 (£)</t>
  </si>
  <si>
    <t>2013 Q4 (£)</t>
  </si>
  <si>
    <t>Electricity - Cost (NHSPS Finance)</t>
  </si>
  <si>
    <t>TBC</t>
  </si>
  <si>
    <t>3 Piccadilly Place (3rd Floor)</t>
  </si>
  <si>
    <t>Electricity - Consumption (BG &amp; EDF)</t>
  </si>
  <si>
    <t>Q1 2013/1410</t>
  </si>
  <si>
    <t>Q2 2013/1411</t>
  </si>
  <si>
    <t>Q3 2013/1412</t>
  </si>
  <si>
    <t>Q4 2013/1413</t>
  </si>
  <si>
    <t>Q1 2014/1514</t>
  </si>
  <si>
    <t>Q2 2014/1515</t>
  </si>
  <si>
    <t>Q3 2014/1516</t>
  </si>
  <si>
    <t>Q4 2014/1517</t>
  </si>
  <si>
    <t>Property</t>
  </si>
  <si>
    <t>Tenant</t>
  </si>
  <si>
    <t>Tenant %</t>
  </si>
  <si>
    <t>Combined</t>
  </si>
  <si>
    <t>Tenant:</t>
  </si>
  <si>
    <t>Occupancy Percentage</t>
  </si>
  <si>
    <t>Tenant Name</t>
  </si>
  <si>
    <t>Type:</t>
  </si>
  <si>
    <t>Stephenson House (Drummond Street)</t>
  </si>
  <si>
    <t>Goswell House (Angel house)</t>
  </si>
  <si>
    <t>EC1V 7EB</t>
  </si>
  <si>
    <t>Holbrook House</t>
  </si>
  <si>
    <t>EN4 0DR</t>
  </si>
  <si>
    <t>St Leonards Hospital</t>
  </si>
  <si>
    <t>N1 5LZ</t>
  </si>
  <si>
    <t>Barking Community Hospital</t>
  </si>
  <si>
    <t>IG11 9LX</t>
  </si>
  <si>
    <t>Wembley Centre for Health &amp; Care</t>
  </si>
  <si>
    <t>HA0 4UZ</t>
  </si>
  <si>
    <t>Sovereign Court</t>
  </si>
  <si>
    <t>TW3 3HR</t>
  </si>
  <si>
    <t>The Heights</t>
  </si>
  <si>
    <t>HA1 3AW</t>
  </si>
  <si>
    <t>Erith Road</t>
  </si>
  <si>
    <t>DA7 6HZ</t>
  </si>
  <si>
    <t>Priory Crescent</t>
  </si>
  <si>
    <t>SM3 8LR</t>
  </si>
  <si>
    <t>Bernard Weatherill House</t>
  </si>
  <si>
    <t>CR0 1EA</t>
  </si>
  <si>
    <t>Steppingley Hospital</t>
  </si>
  <si>
    <t>MK45 1AB</t>
  </si>
  <si>
    <t>Midlands and East</t>
  </si>
  <si>
    <t>Peterborough City Care Centre</t>
  </si>
  <si>
    <t>PE3 6DB</t>
  </si>
  <si>
    <t>Willowbrook Health Complex</t>
  </si>
  <si>
    <t>NN17 2UR</t>
  </si>
  <si>
    <t>County Hospital Louth</t>
  </si>
  <si>
    <t>LN11 0EU</t>
  </si>
  <si>
    <t>North Hykeham Health Centre</t>
  </si>
  <si>
    <t>LN6 9AY</t>
  </si>
  <si>
    <t>Gooseberry Hill Health Centre</t>
  </si>
  <si>
    <t>LU3 2LB</t>
  </si>
  <si>
    <t>The Lodge</t>
  </si>
  <si>
    <t>LU1 2BJ</t>
  </si>
  <si>
    <t>Wollaton Vale Health Centre</t>
  </si>
  <si>
    <t>NG8 2GR</t>
  </si>
  <si>
    <t>Lockton House</t>
  </si>
  <si>
    <t>CB2 8FH</t>
  </si>
  <si>
    <t>Exchange Tower</t>
  </si>
  <si>
    <t>PE13 1HG</t>
  </si>
  <si>
    <t>Pathfinder House</t>
  </si>
  <si>
    <t>PE29 3TN</t>
  </si>
  <si>
    <t>Phoenix Place (Ground and First Floors)</t>
  </si>
  <si>
    <t>Wren House</t>
  </si>
  <si>
    <t>Harcourt House Ground Floor</t>
  </si>
  <si>
    <t>SS2 6HE</t>
  </si>
  <si>
    <t>Hawthorn House</t>
  </si>
  <si>
    <t>NG21 0HJ</t>
  </si>
  <si>
    <t>Crescent View</t>
  </si>
  <si>
    <t>SK17 6EN</t>
  </si>
  <si>
    <t>Toll Bar House</t>
  </si>
  <si>
    <t>DE7 5FH</t>
  </si>
  <si>
    <t>1 Standard Court</t>
  </si>
  <si>
    <t>NG1 6GN</t>
  </si>
  <si>
    <t>Johnson Community Hospital</t>
  </si>
  <si>
    <t>PE11 3DT</t>
  </si>
  <si>
    <t>Easthorpe House</t>
  </si>
  <si>
    <t>NG11 6LQ</t>
  </si>
  <si>
    <t>Matthew House</t>
  </si>
  <si>
    <t>LU6 1SD</t>
  </si>
  <si>
    <t>St Johns House (8th Floor)</t>
  </si>
  <si>
    <t>St Johns House (4th Floor)</t>
  </si>
  <si>
    <t>Herbert Minton</t>
  </si>
  <si>
    <t>ST4 7PZ</t>
  </si>
  <si>
    <t>Venture House (Units 2-3)</t>
  </si>
  <si>
    <t>LE4 8BB</t>
  </si>
  <si>
    <t>Goscote House</t>
  </si>
  <si>
    <t>WS3 1SJ</t>
  </si>
  <si>
    <t>Merlin House</t>
  </si>
  <si>
    <t>B78 3HF</t>
  </si>
  <si>
    <t>St Margarets Community Hospital</t>
  </si>
  <si>
    <t>CM16 6TN</t>
  </si>
  <si>
    <t>Morston House</t>
  </si>
  <si>
    <t>ST5 1QG</t>
  </si>
  <si>
    <t>Edwin House</t>
  </si>
  <si>
    <t>DE14 2WF</t>
  </si>
  <si>
    <t>Kingston House</t>
  </si>
  <si>
    <t>Friars Gate</t>
  </si>
  <si>
    <t>B90 4BN</t>
  </si>
  <si>
    <t>The Coach House</t>
  </si>
  <si>
    <t>WR3 7NW</t>
  </si>
  <si>
    <t>Christchurch House (2nd and 3rd Floors)</t>
  </si>
  <si>
    <t>CV1 2QL</t>
  </si>
  <si>
    <t xml:space="preserve">Hunters House </t>
  </si>
  <si>
    <t>CV21 2AW</t>
  </si>
  <si>
    <t>George Eliot Hospital</t>
  </si>
  <si>
    <t>CV1 7DJ</t>
  </si>
  <si>
    <t>New Alderley House</t>
  </si>
  <si>
    <t>SK10 3BL</t>
  </si>
  <si>
    <t>Regent House</t>
  </si>
  <si>
    <t>SK41BS</t>
  </si>
  <si>
    <t>Wigan Life Centre</t>
  </si>
  <si>
    <t>WN1 1NJ</t>
  </si>
  <si>
    <t>Newton Silk Mill (Second Floor)</t>
  </si>
  <si>
    <t>M40 1HA</t>
  </si>
  <si>
    <t>Parkway 1</t>
  </si>
  <si>
    <t>M14 7LU</t>
  </si>
  <si>
    <t>Parkway 3</t>
  </si>
  <si>
    <t>SK14 1HL</t>
  </si>
  <si>
    <t>Gilbey Road - CAR PARK</t>
  </si>
  <si>
    <t>DN31 2UJ</t>
  </si>
  <si>
    <t>Omega Business Park</t>
  </si>
  <si>
    <t>DL6 2NJ</t>
  </si>
  <si>
    <t>St James's Business Park</t>
  </si>
  <si>
    <t>HG5 8QB</t>
  </si>
  <si>
    <t>Athena Building</t>
  </si>
  <si>
    <t>Cleethorpes Primary Care Centre</t>
  </si>
  <si>
    <t>DN35 8EB</t>
  </si>
  <si>
    <t>Pilgrim Primary Care Centre</t>
  </si>
  <si>
    <t>DN40 1JW</t>
  </si>
  <si>
    <t>Civic Centre Stone Cross</t>
  </si>
  <si>
    <t>DL6 2UU</t>
  </si>
  <si>
    <t>West Offices</t>
  </si>
  <si>
    <t>YO1 6GA</t>
  </si>
  <si>
    <t>Wilberforce Court Suite 1</t>
  </si>
  <si>
    <t>HU1 1YH</t>
  </si>
  <si>
    <t>Wira House</t>
  </si>
  <si>
    <t>LS16 6QL</t>
  </si>
  <si>
    <t>F Mill Dean Clough- half of 5th Floor</t>
  </si>
  <si>
    <t>HX3 5AX</t>
  </si>
  <si>
    <t>Enterprise House</t>
  </si>
  <si>
    <t>Headley Court</t>
  </si>
  <si>
    <t>NE29 7ST</t>
  </si>
  <si>
    <t>Morpeth County Hall</t>
  </si>
  <si>
    <t>NE61 2EF</t>
  </si>
  <si>
    <t>Pemberton House</t>
  </si>
  <si>
    <t>SR5 3XB</t>
  </si>
  <si>
    <t>Riverside house</t>
  </si>
  <si>
    <t>Dr Piper house</t>
  </si>
  <si>
    <t>DL3 6JL</t>
  </si>
  <si>
    <t>Sedgefield Community Hospital</t>
  </si>
  <si>
    <t>TS21 3EE</t>
  </si>
  <si>
    <t>Rivergreen</t>
  </si>
  <si>
    <t>DH1 1TS</t>
  </si>
  <si>
    <t>Billingham Health Centre</t>
  </si>
  <si>
    <t>TS23 2LA</t>
  </si>
  <si>
    <t>North Ormsby Health Village</t>
  </si>
  <si>
    <t>TS3 6AL</t>
  </si>
  <si>
    <t>Fusion House</t>
  </si>
  <si>
    <t>BB1 2FD</t>
  </si>
  <si>
    <t>West (North)</t>
  </si>
  <si>
    <t>Blackpool Football Stadium</t>
  </si>
  <si>
    <t>FY1 6JX</t>
  </si>
  <si>
    <t>Walshaw House</t>
  </si>
  <si>
    <t>BB9 8AS</t>
  </si>
  <si>
    <t>Runcorn Town Hall</t>
  </si>
  <si>
    <t xml:space="preserve">WA7 5TD </t>
  </si>
  <si>
    <t>Nutgrove Villa</t>
  </si>
  <si>
    <t>L36 6GA</t>
  </si>
  <si>
    <t>Arthouse Square</t>
  </si>
  <si>
    <t>L1 4AZ</t>
  </si>
  <si>
    <t>Merton House (3rd Floor &amp; Part 5th Floor)</t>
  </si>
  <si>
    <t>L20 3DL</t>
  </si>
  <si>
    <t>Retford Hospital</t>
  </si>
  <si>
    <t xml:space="preserve"> DN22 7XF</t>
  </si>
  <si>
    <t>King Lane Moortown</t>
  </si>
  <si>
    <t>LS17 5BP</t>
  </si>
  <si>
    <t>WF1 1LT</t>
  </si>
  <si>
    <t>Monkton Hall</t>
  </si>
  <si>
    <t>NE32 5NN</t>
  </si>
  <si>
    <t>Curzon Road</t>
  </si>
  <si>
    <t>PR8 6PL</t>
  </si>
  <si>
    <t>South North</t>
  </si>
  <si>
    <t>Bramblefield Clinic</t>
  </si>
  <si>
    <t>ME10 2ST</t>
  </si>
  <si>
    <t>South East</t>
  </si>
  <si>
    <t>Inca House</t>
  </si>
  <si>
    <t>TN25 4AB</t>
  </si>
  <si>
    <t>Fifty Pembroke Court</t>
  </si>
  <si>
    <t>ME4 4EL</t>
  </si>
  <si>
    <t>Lanchester House</t>
  </si>
  <si>
    <t>BN1 4FU</t>
  </si>
  <si>
    <t>Limousin House</t>
  </si>
  <si>
    <t>BN23 6TE</t>
  </si>
  <si>
    <t>Cedar Court</t>
  </si>
  <si>
    <t>KT22 9AE</t>
  </si>
  <si>
    <t>King George V House</t>
  </si>
  <si>
    <t>HP6 5AW</t>
  </si>
  <si>
    <t>Weybridge Hospital</t>
  </si>
  <si>
    <t>KT13 8DY</t>
  </si>
  <si>
    <t>Astral House</t>
  </si>
  <si>
    <t>OX26 4JT</t>
  </si>
  <si>
    <t>Patient Contact Centre</t>
  </si>
  <si>
    <t>BH1 4JQ</t>
  </si>
  <si>
    <t>South South</t>
  </si>
  <si>
    <t>Central 40</t>
  </si>
  <si>
    <t>RG24 8GU</t>
  </si>
  <si>
    <t>Apex Centre</t>
  </si>
  <si>
    <t>PO30 5WN</t>
  </si>
  <si>
    <t>Canford House</t>
  </si>
  <si>
    <t>BH12 5AG</t>
  </si>
  <si>
    <t>Vespasian House</t>
  </si>
  <si>
    <t>DT1 1TS</t>
  </si>
  <si>
    <t>Mey House</t>
  </si>
  <si>
    <t>DT1 3QY</t>
  </si>
  <si>
    <t>West Street Staff House</t>
  </si>
  <si>
    <t>RG9 2EA</t>
  </si>
  <si>
    <t>South West</t>
  </si>
  <si>
    <t>Boutport Street</t>
  </si>
  <si>
    <t>EX31 1RW</t>
  </si>
  <si>
    <t>Pomona House (Unit 3)</t>
  </si>
  <si>
    <t>TQ2 7FF</t>
  </si>
  <si>
    <t>Cudmore House SERCO</t>
  </si>
  <si>
    <t>TR1 3LP</t>
  </si>
  <si>
    <t>Devon County Hall</t>
  </si>
  <si>
    <t>EX2 4QD</t>
  </si>
  <si>
    <t>Crown Yealm House</t>
  </si>
  <si>
    <t>EX36 3LH</t>
  </si>
  <si>
    <t>Newcourt House</t>
  </si>
  <si>
    <t>EX2 7JU</t>
  </si>
  <si>
    <t xml:space="preserve">Daromaba House </t>
  </si>
  <si>
    <t>PL14 3XA</t>
  </si>
  <si>
    <t>St James' Hospital</t>
  </si>
  <si>
    <t>PO4 8LD</t>
  </si>
  <si>
    <t>11 Station Road</t>
  </si>
  <si>
    <t>ME14 1QH</t>
  </si>
  <si>
    <t>Water</t>
  </si>
  <si>
    <t>TBC 1</t>
  </si>
  <si>
    <t>TBC 2</t>
  </si>
  <si>
    <t>TBC 3</t>
  </si>
  <si>
    <t>TBC 4</t>
  </si>
  <si>
    <t>Q1 2013/14 (£)</t>
  </si>
  <si>
    <t>Q2 2013/14 (£)</t>
  </si>
  <si>
    <t>Q3 2013/14 (£)</t>
  </si>
  <si>
    <t>Q4 2013/14 (£)</t>
  </si>
  <si>
    <t>Q1 2014/15 (£)</t>
  </si>
  <si>
    <t>Q2 2014/15 (£)</t>
  </si>
  <si>
    <t>Q3 2014/15 (£)</t>
  </si>
  <si>
    <t>Q4 2014/15 (£)</t>
  </si>
  <si>
    <t>Water - Cost from NHSPS Finance</t>
  </si>
  <si>
    <t>Water Consumption (Estimated Based on xxx)</t>
  </si>
  <si>
    <t>Total (Units)</t>
  </si>
  <si>
    <t>Total Cost (£)</t>
  </si>
  <si>
    <t>(Conv. Factor 0.184973)</t>
  </si>
  <si>
    <t>(Conv. Factor 0.494265)</t>
  </si>
  <si>
    <t>Carbon Emissions (kgCO2)</t>
  </si>
  <si>
    <t>AR5182</t>
  </si>
  <si>
    <t>AR5205</t>
  </si>
  <si>
    <t>AR8009</t>
  </si>
  <si>
    <t>AR8044</t>
  </si>
  <si>
    <t>AR8084</t>
  </si>
  <si>
    <t>AR9026</t>
  </si>
  <si>
    <t>AR5336</t>
  </si>
  <si>
    <t>AR5338</t>
  </si>
  <si>
    <t>AR5285</t>
  </si>
  <si>
    <t>AR5317</t>
  </si>
  <si>
    <t>AR5527</t>
  </si>
  <si>
    <t>AR8118</t>
  </si>
  <si>
    <t>AR8181</t>
  </si>
  <si>
    <t>AR2505</t>
  </si>
  <si>
    <t>AR2625</t>
  </si>
  <si>
    <t>AR2698</t>
  </si>
  <si>
    <t>AR2701</t>
  </si>
  <si>
    <t>AR2729</t>
  </si>
  <si>
    <t>AR2673</t>
  </si>
  <si>
    <t>AR2929</t>
  </si>
  <si>
    <t>AR5608</t>
  </si>
  <si>
    <t>AR5638</t>
  </si>
  <si>
    <t>AR5652</t>
  </si>
  <si>
    <t>AR2965</t>
  </si>
  <si>
    <t>AR3115</t>
  </si>
  <si>
    <t>AR3075</t>
  </si>
  <si>
    <t>AR5902</t>
  </si>
  <si>
    <t>AR5765</t>
  </si>
  <si>
    <t>AR5812</t>
  </si>
  <si>
    <t>AR6045</t>
  </si>
  <si>
    <t>AR6063</t>
  </si>
  <si>
    <t>AR5997</t>
  </si>
  <si>
    <t>AR3466</t>
  </si>
  <si>
    <t>AR3262</t>
  </si>
  <si>
    <t>AR3283</t>
  </si>
  <si>
    <t>AR3325</t>
  </si>
  <si>
    <t>AR3160</t>
  </si>
  <si>
    <t>AR3166</t>
  </si>
  <si>
    <t>AR3168</t>
  </si>
  <si>
    <t>AR3209</t>
  </si>
  <si>
    <t>AR3172</t>
  </si>
  <si>
    <t>AR3173</t>
  </si>
  <si>
    <t>AR3181</t>
  </si>
  <si>
    <t>AR3185</t>
  </si>
  <si>
    <t>AR3188</t>
  </si>
  <si>
    <t>AR3197</t>
  </si>
  <si>
    <t>AR3206</t>
  </si>
  <si>
    <t>AR3216</t>
  </si>
  <si>
    <t>AR3208</t>
  </si>
  <si>
    <t>AR3394</t>
  </si>
  <si>
    <t>AR3398</t>
  </si>
  <si>
    <t>AR3404</t>
  </si>
  <si>
    <t>AR3415</t>
  </si>
  <si>
    <t>AR3511</t>
  </si>
  <si>
    <t>AR3545</t>
  </si>
  <si>
    <t>AR3550</t>
  </si>
  <si>
    <t>AR6182</t>
  </si>
  <si>
    <t>AR6379</t>
  </si>
  <si>
    <t>AR8445</t>
  </si>
  <si>
    <t>AR8463</t>
  </si>
  <si>
    <t>AR8514</t>
  </si>
  <si>
    <t>AR8520</t>
  </si>
  <si>
    <t>AR3624</t>
  </si>
  <si>
    <t>AR3632</t>
  </si>
  <si>
    <t>AR3642</t>
  </si>
  <si>
    <t>AR3644</t>
  </si>
  <si>
    <t>AR3715</t>
  </si>
  <si>
    <t>AR6527</t>
  </si>
  <si>
    <t>AR6413</t>
  </si>
  <si>
    <t>AR6440</t>
  </si>
  <si>
    <t>AR6443</t>
  </si>
  <si>
    <t>AR6444</t>
  </si>
  <si>
    <t>AR3967</t>
  </si>
  <si>
    <t>AR3993</t>
  </si>
  <si>
    <t>AR7030</t>
  </si>
  <si>
    <t>AR7075</t>
  </si>
  <si>
    <t>AR7103</t>
  </si>
  <si>
    <t>AR7258</t>
  </si>
  <si>
    <t>AR7284</t>
  </si>
  <si>
    <t>AR4198</t>
  </si>
  <si>
    <t>AR4101</t>
  </si>
  <si>
    <t>AR4080</t>
  </si>
  <si>
    <t>AR6591</t>
  </si>
  <si>
    <t>AR6599</t>
  </si>
  <si>
    <t>AR7665</t>
  </si>
  <si>
    <t>AR7698</t>
  </si>
  <si>
    <t>AR4233</t>
  </si>
  <si>
    <t>AR4301</t>
  </si>
  <si>
    <t>AR4325</t>
  </si>
  <si>
    <t>AR8656</t>
  </si>
  <si>
    <t>AR8756</t>
  </si>
  <si>
    <t>AR5461</t>
  </si>
  <si>
    <t>AR9061</t>
  </si>
  <si>
    <t>AR9083</t>
  </si>
  <si>
    <t>AR9086</t>
  </si>
  <si>
    <t>AR9000</t>
  </si>
  <si>
    <t>AR4456</t>
  </si>
  <si>
    <t>AR4468</t>
  </si>
  <si>
    <t>AR4544</t>
  </si>
  <si>
    <t>AR9495</t>
  </si>
  <si>
    <t>AR9460</t>
  </si>
  <si>
    <t>AR9472</t>
  </si>
  <si>
    <t>AR9474</t>
  </si>
  <si>
    <t>AR9492</t>
  </si>
  <si>
    <t>AR9122</t>
  </si>
  <si>
    <t>AR4213</t>
  </si>
  <si>
    <t>AR2680</t>
  </si>
  <si>
    <t>AR9478</t>
  </si>
  <si>
    <t>AR9454</t>
  </si>
  <si>
    <t>AR3199</t>
  </si>
  <si>
    <t>AR3200</t>
  </si>
  <si>
    <t>AR3493</t>
  </si>
  <si>
    <t>AR4197</t>
  </si>
  <si>
    <t>AR4058</t>
  </si>
  <si>
    <t>AR4261</t>
  </si>
  <si>
    <t>AR4550</t>
  </si>
  <si>
    <t>AR2802</t>
  </si>
  <si>
    <t>AR2936</t>
  </si>
  <si>
    <t>AR2679</t>
  </si>
  <si>
    <t>AR2905</t>
  </si>
  <si>
    <t>AR3023</t>
  </si>
  <si>
    <t>AR3000</t>
  </si>
  <si>
    <t>AR3106</t>
  </si>
  <si>
    <t>AR3688</t>
  </si>
  <si>
    <t>AR3965</t>
  </si>
  <si>
    <t>AR3876</t>
  </si>
  <si>
    <t>AR3868</t>
  </si>
  <si>
    <t>AR8443</t>
  </si>
  <si>
    <t>AR8461</t>
  </si>
  <si>
    <t>AR8564</t>
  </si>
  <si>
    <t>AR8618</t>
  </si>
  <si>
    <t>AR8743</t>
  </si>
  <si>
    <t>AR8256</t>
  </si>
  <si>
    <t>AR8229</t>
  </si>
  <si>
    <t>AR8981</t>
  </si>
  <si>
    <t>AR8524</t>
  </si>
  <si>
    <t>AR6164</t>
  </si>
  <si>
    <t>AR5872</t>
  </si>
  <si>
    <t>AR5666</t>
  </si>
  <si>
    <t>AR5619</t>
  </si>
  <si>
    <t>AR5644</t>
  </si>
  <si>
    <t>AR5733</t>
  </si>
  <si>
    <t>AR5740</t>
  </si>
  <si>
    <t>AR5663</t>
  </si>
  <si>
    <t>AR6302</t>
  </si>
  <si>
    <t>AR6333</t>
  </si>
  <si>
    <t>AR6345</t>
  </si>
  <si>
    <t>AR6481</t>
  </si>
  <si>
    <t>AR6508</t>
  </si>
  <si>
    <t>AR6479</t>
  </si>
  <si>
    <t>AR6459</t>
  </si>
  <si>
    <t>AR6645</t>
  </si>
  <si>
    <t>AR6598</t>
  </si>
  <si>
    <t>AR6557</t>
  </si>
  <si>
    <t>AR6635</t>
  </si>
  <si>
    <t>AR5469</t>
  </si>
  <si>
    <t>AR5522</t>
  </si>
  <si>
    <t>AR7074</t>
  </si>
  <si>
    <t>AR7229</t>
  </si>
  <si>
    <t>AR7124</t>
  </si>
  <si>
    <t>AR7000</t>
  </si>
  <si>
    <t>AR7054</t>
  </si>
  <si>
    <t>AR7453</t>
  </si>
  <si>
    <t>AR7825</t>
  </si>
  <si>
    <t>Electricity - Estimated for Non - Framework</t>
  </si>
  <si>
    <t>Estimated Useage (kWh)</t>
  </si>
  <si>
    <t>Average Price per unit</t>
  </si>
  <si>
    <r>
      <t>Average Price per m</t>
    </r>
    <r>
      <rPr>
        <i/>
        <vertAlign val="superscript"/>
        <sz val="11"/>
        <color theme="1"/>
        <rFont val="Calibri"/>
        <family val="2"/>
        <scheme val="minor"/>
      </rPr>
      <t>3</t>
    </r>
  </si>
  <si>
    <r>
      <t>Estimated Useage (m</t>
    </r>
    <r>
      <rPr>
        <b/>
        <vertAlign val="superscript"/>
        <sz val="11"/>
        <color theme="1"/>
        <rFont val="Calibri"/>
        <family val="2"/>
        <scheme val="minor"/>
      </rPr>
      <t>3</t>
    </r>
    <r>
      <rPr>
        <b/>
        <sz val="11"/>
        <color theme="1"/>
        <rFont val="Calibri"/>
        <family val="2"/>
        <scheme val="minor"/>
      </rPr>
      <t>)</t>
    </r>
  </si>
  <si>
    <t>(Estimate)</t>
  </si>
  <si>
    <t>Figures below represent estiamted values to be used where actual data is not available at the time of this report's release.
The average price used is noted in the cells below the data tables</t>
  </si>
  <si>
    <t>Domestic Waste</t>
  </si>
  <si>
    <t>Total Use (TN)</t>
  </si>
  <si>
    <t>Summary</t>
  </si>
  <si>
    <t>Recycling</t>
  </si>
  <si>
    <t>Confidential Waste</t>
  </si>
  <si>
    <t>Overall Total</t>
  </si>
  <si>
    <t>14/15</t>
  </si>
  <si>
    <t>13/14</t>
  </si>
  <si>
    <t>Cost Centre Code</t>
  </si>
  <si>
    <t>Cost Centre Code Desc</t>
  </si>
  <si>
    <t>Clinical (£)</t>
  </si>
  <si>
    <t>Domestic (£)</t>
  </si>
  <si>
    <t>Hazardous (£)</t>
  </si>
  <si>
    <t>Recycling (£)</t>
  </si>
  <si>
    <t>Confidential (£)</t>
  </si>
  <si>
    <t>AM9508</t>
  </si>
  <si>
    <t>BLACKBURN WITH DARWEN AREA - BUILD &amp; ENG</t>
  </si>
  <si>
    <t>AM9511</t>
  </si>
  <si>
    <t>CENTRAL LANCS AREA - BUILD &amp; ENG</t>
  </si>
  <si>
    <t>AM9542</t>
  </si>
  <si>
    <t>GM - BOLTON AREA - BUILD &amp; ENG</t>
  </si>
  <si>
    <t>AM9545</t>
  </si>
  <si>
    <t>GM - MANCHESTER AREA - BUILD &amp; ENG</t>
  </si>
  <si>
    <t>AM9546</t>
  </si>
  <si>
    <t>GM - OLDHAM AREA - BUILD &amp; ENG</t>
  </si>
  <si>
    <t>AM9547</t>
  </si>
  <si>
    <t>GM - SALFORD AREA - BUILD &amp; ENG</t>
  </si>
  <si>
    <t>AM9548</t>
  </si>
  <si>
    <t>GM - STOCKPORT AREA - BUILD &amp; ENG</t>
  </si>
  <si>
    <t>AM9549</t>
  </si>
  <si>
    <t>GM - TAMESIDE &amp; GLOSSOP AREA - BUILD &amp; ENG</t>
  </si>
  <si>
    <t>AM9550</t>
  </si>
  <si>
    <t>GM - TRAFFORD AREA - BUILD &amp; ENG</t>
  </si>
  <si>
    <t>AM9563</t>
  </si>
  <si>
    <t>Withington Community Hospital - BU</t>
  </si>
  <si>
    <t>AM9565</t>
  </si>
  <si>
    <t>Clinical Waste - Essex Only - BUILD &amp; ENG</t>
  </si>
  <si>
    <t>AM9568</t>
  </si>
  <si>
    <t>Child Hill Clinic (CLCH) - BU</t>
  </si>
  <si>
    <t>AM9569</t>
  </si>
  <si>
    <t>Grahame Park Health Centre (CLCH) - BU</t>
  </si>
  <si>
    <t>AM9570</t>
  </si>
  <si>
    <t>West Hendon Clinic (CLCH) - BU</t>
  </si>
  <si>
    <t>AM9571</t>
  </si>
  <si>
    <t>Oak Lane Clinic (CLCH) - BU</t>
  </si>
  <si>
    <t>AM9572</t>
  </si>
  <si>
    <t>Watling Clinic (CLCH) - BU</t>
  </si>
  <si>
    <t>AM9573</t>
  </si>
  <si>
    <t>Mill Hill Clinic (CLCH) - BU</t>
  </si>
  <si>
    <t>AM9574</t>
  </si>
  <si>
    <t>FalklandÂ HouseÂ Clinic (CLCH) - BU</t>
  </si>
  <si>
    <t>AM9575</t>
  </si>
  <si>
    <t>ParsonsÂ GreenÂ HealthÂ Centre (CLCH) - BU</t>
  </si>
  <si>
    <t>AM9576</t>
  </si>
  <si>
    <t>Richford Gate (CLCH) - BU</t>
  </si>
  <si>
    <t>AM9577</t>
  </si>
  <si>
    <t>StÂ DunstansÂ Clinic (CLCH) - BU</t>
  </si>
  <si>
    <t>AM9578</t>
  </si>
  <si>
    <t>ColvilleÂ HealthÂ Centre (CLCH) - BU</t>
  </si>
  <si>
    <t>AM9579</t>
  </si>
  <si>
    <t>GertrudeÂ StreetÂ Psychological Srv (CLCH) - BU</t>
  </si>
  <si>
    <t>AM9580</t>
  </si>
  <si>
    <t>VioletÂ MelchettÂ HealthÂ Centre (CLCH) - BU</t>
  </si>
  <si>
    <t>AM9581</t>
  </si>
  <si>
    <t>WorldsÂ EndÂ HealthÂ Centre (CLCH) - BU</t>
  </si>
  <si>
    <t>AM9582</t>
  </si>
  <si>
    <t>BessboroughÂ Street Clinic (CLCH) - BU</t>
  </si>
  <si>
    <t>AM9583</t>
  </si>
  <si>
    <t>HealthÂ atÂ theÂ Stowe (CLCH) - BU</t>
  </si>
  <si>
    <t>AM9585</t>
  </si>
  <si>
    <t>LissonÂ GroveÂ HealthÂ Centre (CLCH) - BU</t>
  </si>
  <si>
    <t>AM9586</t>
  </si>
  <si>
    <t>MilneÂ House (CLCH) - BU</t>
  </si>
  <si>
    <t>AM9587</t>
  </si>
  <si>
    <t>QueensÂ ParkÂ HealthÂ Centre (CLCH) - BU</t>
  </si>
  <si>
    <t>AM9588</t>
  </si>
  <si>
    <t>Woodfield Road Medical Centre (CLCH) - BU</t>
  </si>
  <si>
    <t>AM9590</t>
  </si>
  <si>
    <t>Essex NELFT Charges - SERV</t>
  </si>
  <si>
    <t>AM9591</t>
  </si>
  <si>
    <t>Unit 2 Earls Court, Hull - BU</t>
  </si>
  <si>
    <t>AM9592</t>
  </si>
  <si>
    <t>Unit 4 Earls Court, Hull - BU</t>
  </si>
  <si>
    <t>AM9594</t>
  </si>
  <si>
    <t>HM Prison, Hull - BU</t>
  </si>
  <si>
    <t>AM9595</t>
  </si>
  <si>
    <t>Hertfordshire Community Trust - BU</t>
  </si>
  <si>
    <t>AM9607</t>
  </si>
  <si>
    <t>BBC - Clinical Waste - BU</t>
  </si>
  <si>
    <t>AM9608</t>
  </si>
  <si>
    <t>BBC - Cleaning - BU</t>
  </si>
  <si>
    <t>AM9609</t>
  </si>
  <si>
    <t>BBC Soft FM - BU</t>
  </si>
  <si>
    <t>AM9611</t>
  </si>
  <si>
    <t>BBC - RDC - BU</t>
  </si>
  <si>
    <t>AM9613</t>
  </si>
  <si>
    <t>EAST LANCS &amp; BLACKBURN AREA - BUILD &amp; ENG</t>
  </si>
  <si>
    <t>Bevan House, Nantwich - FM</t>
  </si>
  <si>
    <t>AR2509</t>
  </si>
  <si>
    <t>Eagle Bridge Health&amp;Wellbeing Cntre - FM</t>
  </si>
  <si>
    <t>AR2510</t>
  </si>
  <si>
    <t>Elmhurst Intermediate Care Centre - FM</t>
  </si>
  <si>
    <t>AR2512</t>
  </si>
  <si>
    <t>Kingsmead Mc, Northwich - FM</t>
  </si>
  <si>
    <t>AR2515</t>
  </si>
  <si>
    <t>Rope Green Medical Centre - FM</t>
  </si>
  <si>
    <t>AR2521</t>
  </si>
  <si>
    <t>Sanders Square Clinic - FM</t>
  </si>
  <si>
    <t>AR2522</t>
  </si>
  <si>
    <t>Western Clinic (Earlsway) - FM</t>
  </si>
  <si>
    <t>AR2525</t>
  </si>
  <si>
    <t>Wilmslow Health Centre - FM</t>
  </si>
  <si>
    <t>AR2529</t>
  </si>
  <si>
    <t>Weaverham Clinic - FM</t>
  </si>
  <si>
    <t>AR2530</t>
  </si>
  <si>
    <t>Wharton Primary Healthcare Centre - FM</t>
  </si>
  <si>
    <t>AR2531</t>
  </si>
  <si>
    <t>Hebden Green School - FM</t>
  </si>
  <si>
    <t>AR2544</t>
  </si>
  <si>
    <t>Millennium House N31 - FM</t>
  </si>
  <si>
    <t>AR2545</t>
  </si>
  <si>
    <t>Orford Clinic - FM</t>
  </si>
  <si>
    <t>AR2569</t>
  </si>
  <si>
    <t>Newton Silk Mill 1st Floor - FM</t>
  </si>
  <si>
    <t>AR2571</t>
  </si>
  <si>
    <t>Crossgate House - FM</t>
  </si>
  <si>
    <t>Old Market House Pct Hq - FM</t>
  </si>
  <si>
    <t>AR2626</t>
  </si>
  <si>
    <t>Oxton Clinic - FM</t>
  </si>
  <si>
    <t>AR2628</t>
  </si>
  <si>
    <t>Riverside Marlwood Suite 1 - FM</t>
  </si>
  <si>
    <t>AR2636</t>
  </si>
  <si>
    <t>Vittoria Medical Centre - FM</t>
  </si>
  <si>
    <t>AR2651</t>
  </si>
  <si>
    <t>Armstrong Road Health Centre - FM</t>
  </si>
  <si>
    <t>AR2652</t>
  </si>
  <si>
    <t>Arthur s Hill Clinic - FM</t>
  </si>
  <si>
    <t>AR2653</t>
  </si>
  <si>
    <t>Atkinson Road Clinic - FM</t>
  </si>
  <si>
    <t>AR2655</t>
  </si>
  <si>
    <t>Bevan House N36 - FM</t>
  </si>
  <si>
    <t>AR2656</t>
  </si>
  <si>
    <t>Blakelaw Health Centre - FM</t>
  </si>
  <si>
    <t>AR2660</t>
  </si>
  <si>
    <t>Denton Park Health Centre - FM</t>
  </si>
  <si>
    <t>AR2662</t>
  </si>
  <si>
    <t>Elswick Health Centre - FM</t>
  </si>
  <si>
    <t>AR2663</t>
  </si>
  <si>
    <t>Geoffrey Rhodes Centre - FM</t>
  </si>
  <si>
    <t>AR2664</t>
  </si>
  <si>
    <t>Gosforth Memorial Health Centre - FM</t>
  </si>
  <si>
    <t>AR2665</t>
  </si>
  <si>
    <t>Kenton Resource Centre Lease 1 - LIFT - FM</t>
  </si>
  <si>
    <t>AR2667</t>
  </si>
  <si>
    <t>Lemington Resource Centre - FM</t>
  </si>
  <si>
    <t>AR2669</t>
  </si>
  <si>
    <t>Molineux Street NHS Centre - FM</t>
  </si>
  <si>
    <t>AR2670</t>
  </si>
  <si>
    <t>New Croft House - FM</t>
  </si>
  <si>
    <t>Ridley House - FM</t>
  </si>
  <si>
    <t>AR2677</t>
  </si>
  <si>
    <t>Walkergate Health Centre - FM</t>
  </si>
  <si>
    <t>Riverside House - 1st Flr - FM</t>
  </si>
  <si>
    <t>Riverside House -   2nd Flr - FM</t>
  </si>
  <si>
    <t>4 Wavell Drive, Rosehill Carlisle - FM</t>
  </si>
  <si>
    <t>Ann Burrow Thomas Health Centre - FM</t>
  </si>
  <si>
    <t>Stafford House Barrow - FM</t>
  </si>
  <si>
    <t>AR2730</t>
  </si>
  <si>
    <t>Tenterfield Kendal - FM</t>
  </si>
  <si>
    <t>AR2732</t>
  </si>
  <si>
    <t>1,4,5,6,7A,7B,8 Hackthorpe Hall - FM</t>
  </si>
  <si>
    <t>AR2741</t>
  </si>
  <si>
    <t>Jarman Centre - FM</t>
  </si>
  <si>
    <t>AR2745</t>
  </si>
  <si>
    <t>Enterprise House - Meadowbank Business Park - FM</t>
  </si>
  <si>
    <t>AR2757</t>
  </si>
  <si>
    <t>Bede Centre - FM</t>
  </si>
  <si>
    <t>AR2760</t>
  </si>
  <si>
    <t>Birtley Nursing Unit - FM</t>
  </si>
  <si>
    <t>AR2762</t>
  </si>
  <si>
    <t>Blaydon Primary Care Centre - FM</t>
  </si>
  <si>
    <t>AR2763</t>
  </si>
  <si>
    <t>Briarwood Sector Base - FM</t>
  </si>
  <si>
    <t>AR2764</t>
  </si>
  <si>
    <t>Carr Hill Clinic - FM</t>
  </si>
  <si>
    <t>AR2766</t>
  </si>
  <si>
    <t>Dunston Health Centre - FM</t>
  </si>
  <si>
    <t>AR2767</t>
  </si>
  <si>
    <t>Felling Health Centre - FM</t>
  </si>
  <si>
    <t>AR2768</t>
  </si>
  <si>
    <t>Gateshead Health Centre - FM</t>
  </si>
  <si>
    <t>AR2769</t>
  </si>
  <si>
    <t>Grassbanks Clinic / Keegan Court - FM</t>
  </si>
  <si>
    <t>AR2772</t>
  </si>
  <si>
    <t>Low Fell Clinic - FM</t>
  </si>
  <si>
    <t>AR2775</t>
  </si>
  <si>
    <t>Queens Park (Equipment Store) - FM</t>
  </si>
  <si>
    <t>AR2776</t>
  </si>
  <si>
    <t>Regent Terrace - FM</t>
  </si>
  <si>
    <t>AR2777</t>
  </si>
  <si>
    <t>Ryton Clinic - FM</t>
  </si>
  <si>
    <t>AR2778</t>
  </si>
  <si>
    <t>Team View - FM</t>
  </si>
  <si>
    <t>AR2779</t>
  </si>
  <si>
    <t>Teams Family Centre - FM</t>
  </si>
  <si>
    <t>AR2780</t>
  </si>
  <si>
    <t>The Croft - FM</t>
  </si>
  <si>
    <t>AR2781</t>
  </si>
  <si>
    <t>Trinity Square - FM</t>
  </si>
  <si>
    <t>AR2782</t>
  </si>
  <si>
    <t>Walker Terrace - FM</t>
  </si>
  <si>
    <t>AR2783</t>
  </si>
  <si>
    <t>Whickham Cottage Health Centre - FM</t>
  </si>
  <si>
    <t>AR2785</t>
  </si>
  <si>
    <t>Wrekenton Health Centre - FM</t>
  </si>
  <si>
    <t>12 Hedley Court - FM</t>
  </si>
  <si>
    <t>AR2806</t>
  </si>
  <si>
    <t>4 Hawkeys Lane, North Shields - FM</t>
  </si>
  <si>
    <t>AR2808</t>
  </si>
  <si>
    <t>Albion Road Resource Centre - FM</t>
  </si>
  <si>
    <t>AR2811</t>
  </si>
  <si>
    <t>Forest Hall Health Centre - FM</t>
  </si>
  <si>
    <t>AR2812</t>
  </si>
  <si>
    <t>Former TVJI site (See NT0007 &amp; 8) - FM</t>
  </si>
  <si>
    <t>AR2813</t>
  </si>
  <si>
    <t>Killingworth Health Centre - FM</t>
  </si>
  <si>
    <t>AR2814</t>
  </si>
  <si>
    <t>Meadowell Health Centre - FM</t>
  </si>
  <si>
    <t>AR2815</t>
  </si>
  <si>
    <t>Monkseaton Clinic - FM</t>
  </si>
  <si>
    <t>AR2816</t>
  </si>
  <si>
    <t>Moor Park Healthy Living Centre - FM</t>
  </si>
  <si>
    <t>AR2817</t>
  </si>
  <si>
    <t>Nelson Health Centre - FM</t>
  </si>
  <si>
    <t>AR2818</t>
  </si>
  <si>
    <t>One to One Centre - FM</t>
  </si>
  <si>
    <t>AR2820</t>
  </si>
  <si>
    <t>Shiremoor Resource Centre - LIFT - FM</t>
  </si>
  <si>
    <t>AR2824</t>
  </si>
  <si>
    <t>Wallsend Health Centre - FM</t>
  </si>
  <si>
    <t>AR2825</t>
  </si>
  <si>
    <t>Whitley Bay Health Centre - FM</t>
  </si>
  <si>
    <t>AR2847</t>
  </si>
  <si>
    <t>69, Epsom Drive - FM</t>
  </si>
  <si>
    <t>AR2850</t>
  </si>
  <si>
    <t>Allendale Health Centre - FM</t>
  </si>
  <si>
    <t>AR2851</t>
  </si>
  <si>
    <t>Amble Health Centre - FM</t>
  </si>
  <si>
    <t>AR2852</t>
  </si>
  <si>
    <t>Ashington Children s Centre - FM</t>
  </si>
  <si>
    <t>AR2853</t>
  </si>
  <si>
    <t>Bedlington Health Centre - FM</t>
  </si>
  <si>
    <t>AR2854</t>
  </si>
  <si>
    <t>Bedlington Station Health Centre - FM</t>
  </si>
  <si>
    <t>AR2856</t>
  </si>
  <si>
    <t>Brockwell Clinic - FM</t>
  </si>
  <si>
    <t>AR2857</t>
  </si>
  <si>
    <t>Broomhill Health Centre - FM</t>
  </si>
  <si>
    <t>AR2858</t>
  </si>
  <si>
    <t>Cheviot Primary Care Centre - FM</t>
  </si>
  <si>
    <t>AR2860</t>
  </si>
  <si>
    <t>Cramlington Health Centre - FM</t>
  </si>
  <si>
    <t>AR2862</t>
  </si>
  <si>
    <t>Guidepost Health Centre - FM</t>
  </si>
  <si>
    <t>AR2863</t>
  </si>
  <si>
    <t>Haltwhistle Health Centre - FM</t>
  </si>
  <si>
    <t>AR2866</t>
  </si>
  <si>
    <t>Merley Croft - FM</t>
  </si>
  <si>
    <t>AR2867</t>
  </si>
  <si>
    <t>Morpeth Gas House Lane - FM</t>
  </si>
  <si>
    <t>AR2868</t>
  </si>
  <si>
    <t>Morpeth NHS Centre - FM</t>
  </si>
  <si>
    <t>AR2869</t>
  </si>
  <si>
    <t>Newbiggin Health Centre - FM</t>
  </si>
  <si>
    <t>AR2870</t>
  </si>
  <si>
    <t>Nursery Park Health Centre - FM</t>
  </si>
  <si>
    <t>AR2871</t>
  </si>
  <si>
    <t>Oaklands House, Front St, Prudhoe - FM</t>
  </si>
  <si>
    <t>AR2872</t>
  </si>
  <si>
    <t>Ponteland Primary Care Centre - FM</t>
  </si>
  <si>
    <t>AR2873</t>
  </si>
  <si>
    <t>Seahouses Health Centre - FM</t>
  </si>
  <si>
    <t>AR2874</t>
  </si>
  <si>
    <t>Seaton Sluice Health Centre - FM</t>
  </si>
  <si>
    <t>AR2875</t>
  </si>
  <si>
    <t>Tanners Burn House - FM</t>
  </si>
  <si>
    <t>AR2876</t>
  </si>
  <si>
    <t>Tweedmouth Clinic - FM</t>
  </si>
  <si>
    <t>AR2877</t>
  </si>
  <si>
    <t>Unit 18, SENET Workshops - FM</t>
  </si>
  <si>
    <t>AR2897</t>
  </si>
  <si>
    <t>Boker Lane Clinic - FM</t>
  </si>
  <si>
    <t>AR2899</t>
  </si>
  <si>
    <t>Cleadon Park Primary Care Centre - FM</t>
  </si>
  <si>
    <t>AR2900</t>
  </si>
  <si>
    <t>Estates Operational Base - FM</t>
  </si>
  <si>
    <t>AR2901</t>
  </si>
  <si>
    <t>Flagg Court Primary Care Centre - FM</t>
  </si>
  <si>
    <t>AR2902</t>
  </si>
  <si>
    <t>Glasgow Road Clinic - FM</t>
  </si>
  <si>
    <t>AR2903</t>
  </si>
  <si>
    <t>Hebburn Health Centre - FM</t>
  </si>
  <si>
    <t>AR2904</t>
  </si>
  <si>
    <t>Marsden Road Health Centre - FM</t>
  </si>
  <si>
    <t>Monkton Hall Hospital - FM</t>
  </si>
  <si>
    <t>AR2906</t>
  </si>
  <si>
    <t>St George s Medical Centre - FM</t>
  </si>
  <si>
    <t>AR2907</t>
  </si>
  <si>
    <t>Stanhope Parade Health Centre - FM</t>
  </si>
  <si>
    <t>AR2908</t>
  </si>
  <si>
    <t>The Glen Primary Care Centre - FM</t>
  </si>
  <si>
    <t>AR2922</t>
  </si>
  <si>
    <t>Barmston Health Centre - FM</t>
  </si>
  <si>
    <t>AR2923</t>
  </si>
  <si>
    <t>Bunnyhill Primary Care Centre - FM</t>
  </si>
  <si>
    <t>AR2924</t>
  </si>
  <si>
    <t>City Green Health Centre - FM</t>
  </si>
  <si>
    <t>AR2925</t>
  </si>
  <si>
    <t>Galleries Health Centre - FM</t>
  </si>
  <si>
    <t>AR2926</t>
  </si>
  <si>
    <t>Grindon Lane Primary Care Centre - FM</t>
  </si>
  <si>
    <t>AR2928</t>
  </si>
  <si>
    <t>Hetton Health Centre - FM</t>
  </si>
  <si>
    <t>Old Exchange Building - Darlington - FM</t>
  </si>
  <si>
    <t>AR2931</t>
  </si>
  <si>
    <t>Houghton Health Centre - FM</t>
  </si>
  <si>
    <t>AR2932</t>
  </si>
  <si>
    <t>Houghton Primary Care Centre - FM</t>
  </si>
  <si>
    <t>AR2933</t>
  </si>
  <si>
    <t>Loftus House - FM</t>
  </si>
  <si>
    <t>AR2934</t>
  </si>
  <si>
    <t>Monkwearmouth Health Centre - FM</t>
  </si>
  <si>
    <t>AR2935</t>
  </si>
  <si>
    <t>Pallion Health Centre - FM</t>
  </si>
  <si>
    <t>Pemberton House - FM</t>
  </si>
  <si>
    <t>AR2938</t>
  </si>
  <si>
    <t>Rapier House - FM</t>
  </si>
  <si>
    <t>AR2939</t>
  </si>
  <si>
    <t>Riverview Health Centre - FM</t>
  </si>
  <si>
    <t>AR2940</t>
  </si>
  <si>
    <t>Ryhope Health Centre - FM</t>
  </si>
  <si>
    <t>AR2941</t>
  </si>
  <si>
    <t>Silksworth Health Centre - FM</t>
  </si>
  <si>
    <t>AR2942</t>
  </si>
  <si>
    <t>Southwick Health Centre - FM</t>
  </si>
  <si>
    <t>AR2943</t>
  </si>
  <si>
    <t>Springwell Health Centre - FM</t>
  </si>
  <si>
    <t>AR2946</t>
  </si>
  <si>
    <t>Victoria Road Health Centre - FM</t>
  </si>
  <si>
    <t>AR2947</t>
  </si>
  <si>
    <t>Washington Primary Care Centre - FM</t>
  </si>
  <si>
    <t>AR2963</t>
  </si>
  <si>
    <t>54 North Road Road - FM</t>
  </si>
  <si>
    <t>AR2964</t>
  </si>
  <si>
    <t>Adelaide House - FM</t>
  </si>
  <si>
    <t>Appleton House - FM</t>
  </si>
  <si>
    <t>AR2966</t>
  </si>
  <si>
    <t>Burnope way - FM</t>
  </si>
  <si>
    <t>AR2967</t>
  </si>
  <si>
    <t>Chilton Health Centre - FM</t>
  </si>
  <si>
    <t>AR2968</t>
  </si>
  <si>
    <t>Consett Medical Centre - FM</t>
  </si>
  <si>
    <t>AR2969</t>
  </si>
  <si>
    <t>Coxhoe Clinic - FM</t>
  </si>
  <si>
    <t>AR2971</t>
  </si>
  <si>
    <t>Crook Health Centre - FM</t>
  </si>
  <si>
    <t>AR2972</t>
  </si>
  <si>
    <t>Easington Clinic - FM</t>
  </si>
  <si>
    <t>AR2973</t>
  </si>
  <si>
    <t>Eden Centre - FM</t>
  </si>
  <si>
    <t>AR2974</t>
  </si>
  <si>
    <t>Eden House - FM</t>
  </si>
  <si>
    <t>AR2975</t>
  </si>
  <si>
    <t>Evenwood - FM</t>
  </si>
  <si>
    <t>AR2976</t>
  </si>
  <si>
    <t>Ferryhill Health Centre - FM</t>
  </si>
  <si>
    <t>AR2977</t>
  </si>
  <si>
    <t>Framwellgate Moor Clinic - FM</t>
  </si>
  <si>
    <t>AR2979</t>
  </si>
  <si>
    <t>Green Lane - FM</t>
  </si>
  <si>
    <t>AR2980</t>
  </si>
  <si>
    <t>Healthworks - FM</t>
  </si>
  <si>
    <t>AR2981</t>
  </si>
  <si>
    <t>Horden Clinic - FM</t>
  </si>
  <si>
    <t>AR2982</t>
  </si>
  <si>
    <t>Indoor Market Seaham - FM</t>
  </si>
  <si>
    <t>AR2983</t>
  </si>
  <si>
    <t>John Snow House - FM</t>
  </si>
  <si>
    <t>AR2985</t>
  </si>
  <si>
    <t>Kelloe - FM</t>
  </si>
  <si>
    <t>AR2986</t>
  </si>
  <si>
    <t>Kepier Clinic - FM</t>
  </si>
  <si>
    <t>AR2987</t>
  </si>
  <si>
    <t>Macmillan - FM</t>
  </si>
  <si>
    <t>AR2988</t>
  </si>
  <si>
    <t>Meadowfield Clinic - FM</t>
  </si>
  <si>
    <t>AR2989</t>
  </si>
  <si>
    <t>Merrington House - FM</t>
  </si>
  <si>
    <t>AR2990</t>
  </si>
  <si>
    <t>Murton Clinic - FM</t>
  </si>
  <si>
    <t>AR2992</t>
  </si>
  <si>
    <t>Peterlee Health Centre - FM</t>
  </si>
  <si>
    <t>AR2993</t>
  </si>
  <si>
    <t>Pioneering Care Centre - FM</t>
  </si>
  <si>
    <t>AR2994</t>
  </si>
  <si>
    <t>Richardson Community Hospital - LIFT - FM</t>
  </si>
  <si>
    <t>AR2995</t>
  </si>
  <si>
    <t>Ridgemount House - FM</t>
  </si>
  <si>
    <t>AR2996</t>
  </si>
  <si>
    <t>Sacriston Medical Centre - FM</t>
  </si>
  <si>
    <t>AR2997</t>
  </si>
  <si>
    <t>Salisbury Centre - FM</t>
  </si>
  <si>
    <t>AR2999</t>
  </si>
  <si>
    <t>Seaham, St Johns - LIFT - FM</t>
  </si>
  <si>
    <t>Sedgefield Community Hospital - PFI - FM</t>
  </si>
  <si>
    <t>AR3001</t>
  </si>
  <si>
    <t>Shildon Health Centre - FM</t>
  </si>
  <si>
    <t>AR3002</t>
  </si>
  <si>
    <t>Shotley Bridge Community Hospital - FM</t>
  </si>
  <si>
    <t>AR3003</t>
  </si>
  <si>
    <t>Shotton Clinic - FM</t>
  </si>
  <si>
    <t>AR3005</t>
  </si>
  <si>
    <t>Spennymoor Health Centre - FM</t>
  </si>
  <si>
    <t>AR3006</t>
  </si>
  <si>
    <t>St Margaret s Health Centre - FM</t>
  </si>
  <si>
    <t>AR3007</t>
  </si>
  <si>
    <t>Stanhope Health Centre - FM</t>
  </si>
  <si>
    <t>AR3008</t>
  </si>
  <si>
    <t>Stanley Primary Care Centre - PFI - FM</t>
  </si>
  <si>
    <t>AR3010</t>
  </si>
  <si>
    <t>Thames House Newton Aycliffe - FM</t>
  </si>
  <si>
    <t>AR3011</t>
  </si>
  <si>
    <t>The Castle Bridge Centre - FM</t>
  </si>
  <si>
    <t>AR3013</t>
  </si>
  <si>
    <t>Tow Law Community Centre - FM</t>
  </si>
  <si>
    <t>AR3014</t>
  </si>
  <si>
    <t>Trimdon House - FM</t>
  </si>
  <si>
    <t>AR3016</t>
  </si>
  <si>
    <t>Units 28-31 Home Equipment Loans - FM</t>
  </si>
  <si>
    <t>AR3017</t>
  </si>
  <si>
    <t>Weardale Community Hospital - FM</t>
  </si>
  <si>
    <t>AR3018</t>
  </si>
  <si>
    <t>Wheatley Hill Clinic - FM</t>
  </si>
  <si>
    <t>AR3019</t>
  </si>
  <si>
    <t>Wheatley Hill Community Centre - FM</t>
  </si>
  <si>
    <t>AR3020</t>
  </si>
  <si>
    <t>Willington Health Centre - FM</t>
  </si>
  <si>
    <t>Doctor Piper House - FM</t>
  </si>
  <si>
    <t>AR3024</t>
  </si>
  <si>
    <t>Hundens A - FM</t>
  </si>
  <si>
    <t>AR3025</t>
  </si>
  <si>
    <t>Hundens B - FM</t>
  </si>
  <si>
    <t>AR3026</t>
  </si>
  <si>
    <t>New Park Place - FM</t>
  </si>
  <si>
    <t>AR3030</t>
  </si>
  <si>
    <t>Lavender Centre - FM</t>
  </si>
  <si>
    <t>AR3031</t>
  </si>
  <si>
    <t>Whinney Hill - FM</t>
  </si>
  <si>
    <t>AR3032</t>
  </si>
  <si>
    <t>Childrens Health Centre - Greenfields - FM</t>
  </si>
  <si>
    <t>AR3055</t>
  </si>
  <si>
    <t>Mandale House (1st &amp; 2nd Floor) - FM</t>
  </si>
  <si>
    <t>AR3056</t>
  </si>
  <si>
    <t>Mandale House (1st Floor) - FM</t>
  </si>
  <si>
    <t>AR3057</t>
  </si>
  <si>
    <t>Mandale House (3rd Floor) - FM</t>
  </si>
  <si>
    <t>AR3059</t>
  </si>
  <si>
    <t>One Life Hartlepool - LIFT - FM</t>
  </si>
  <si>
    <t>AR3064</t>
  </si>
  <si>
    <t>Billingham Health Centre - FM</t>
  </si>
  <si>
    <t>AR3065</t>
  </si>
  <si>
    <t>Clarence Street Medical Centre - FM</t>
  </si>
  <si>
    <t>AR3066</t>
  </si>
  <si>
    <t>Eaglescliffe Health Centre - FM</t>
  </si>
  <si>
    <t>AR3067</t>
  </si>
  <si>
    <t>Fairfield Clinic - FM</t>
  </si>
  <si>
    <t>AR3070</t>
  </si>
  <si>
    <t>Port Clarence Clinic - FM</t>
  </si>
  <si>
    <t>AR3073</t>
  </si>
  <si>
    <t>Redheugh House N32 65R - FM</t>
  </si>
  <si>
    <t>Teesdale House - FM</t>
  </si>
  <si>
    <t>AR3097</t>
  </si>
  <si>
    <t>122/123 Hollowfield Square - FM</t>
  </si>
  <si>
    <t>AR3100</t>
  </si>
  <si>
    <t>Carter Bequest Hospital - FM</t>
  </si>
  <si>
    <t>AR3101</t>
  </si>
  <si>
    <t>Cleveland Health Centre - FM</t>
  </si>
  <si>
    <t>AR3105</t>
  </si>
  <si>
    <t>Lifestore - FM</t>
  </si>
  <si>
    <t>North Ormesby Health Village-Unit11 - FM</t>
  </si>
  <si>
    <t>AR3107</t>
  </si>
  <si>
    <t>North Ormesby Health Village-Unit13 - FM</t>
  </si>
  <si>
    <t>AR3108</t>
  </si>
  <si>
    <t>North Ormesby Health Village-Unit 2 - FM</t>
  </si>
  <si>
    <t>AR3109</t>
  </si>
  <si>
    <t>One Life Middlesbrough-Part Grd Flr - FM</t>
  </si>
  <si>
    <t>AR3111</t>
  </si>
  <si>
    <t>One Life Middlesbrough-Third Floor - FM</t>
  </si>
  <si>
    <t>Riverside House - Unit 17/18 - FM</t>
  </si>
  <si>
    <t>AR3116</t>
  </si>
  <si>
    <t>Riverside House - Unit 20 - FM</t>
  </si>
  <si>
    <t>AR3117</t>
  </si>
  <si>
    <t>Unity House - FM</t>
  </si>
  <si>
    <t>AR3118</t>
  </si>
  <si>
    <t>West Acklam Clinic - FM</t>
  </si>
  <si>
    <t>AR3119</t>
  </si>
  <si>
    <t>Carlin Howe Clinic - FM</t>
  </si>
  <si>
    <t>AR3120</t>
  </si>
  <si>
    <t>Coatham Road - FM</t>
  </si>
  <si>
    <t>AR3121</t>
  </si>
  <si>
    <t>East Cleveland Hospital - FM</t>
  </si>
  <si>
    <t>AR3122</t>
  </si>
  <si>
    <t>Eston Clinic - FM</t>
  </si>
  <si>
    <t>AR3124</t>
  </si>
  <si>
    <t>Guisborough - Chalenor Building - FM</t>
  </si>
  <si>
    <t>AR3125</t>
  </si>
  <si>
    <t>Guisborough General Hospital - FM</t>
  </si>
  <si>
    <t>AR3126</t>
  </si>
  <si>
    <t>Hillside Practice - FM</t>
  </si>
  <si>
    <t>AR3128</t>
  </si>
  <si>
    <t>Lingdale Clinic - FM</t>
  </si>
  <si>
    <t>AR3129</t>
  </si>
  <si>
    <t>Loftus Clinic - FM</t>
  </si>
  <si>
    <t>AR3133</t>
  </si>
  <si>
    <t>Marske Clinic - FM</t>
  </si>
  <si>
    <t>AR3134</t>
  </si>
  <si>
    <t>Marske Medical Centre - FM</t>
  </si>
  <si>
    <t>AR3136</t>
  </si>
  <si>
    <t>Redcar Primary Care Hospital - PFI - FM</t>
  </si>
  <si>
    <t>AR3137</t>
  </si>
  <si>
    <t>Skelton Health Centre - FM</t>
  </si>
  <si>
    <t>AR3157</t>
  </si>
  <si>
    <t>144 Wythenshawe Road - FM</t>
  </si>
  <si>
    <t>AR3159</t>
  </si>
  <si>
    <t>Abbey Hey Clinic - FM</t>
  </si>
  <si>
    <t>Alexandra Park Health Centre - FM</t>
  </si>
  <si>
    <t>AR3162</t>
  </si>
  <si>
    <t>Baguley Clinic - FM</t>
  </si>
  <si>
    <t>AR3163</t>
  </si>
  <si>
    <t>Beechmount Resource Centre - FM</t>
  </si>
  <si>
    <t>Burnage Health Centre - FM</t>
  </si>
  <si>
    <t>Charlestown Road Health Centre - FM</t>
  </si>
  <si>
    <t>AR3170</t>
  </si>
  <si>
    <t>Chorlton Health Centre - FM</t>
  </si>
  <si>
    <t>AR3171</t>
  </si>
  <si>
    <t>City Health Centre - FM</t>
  </si>
  <si>
    <t>Clayton Health Centre - FM</t>
  </si>
  <si>
    <t>Cornerstone Centre - PFI - FM</t>
  </si>
  <si>
    <t>AR3174</t>
  </si>
  <si>
    <t>Crescent Bank - FM</t>
  </si>
  <si>
    <t>AR3180</t>
  </si>
  <si>
    <t>Gorton Clinic - FM</t>
  </si>
  <si>
    <t>Harpurhey Health Centre - FM</t>
  </si>
  <si>
    <t>Levenshulme Health Centre - FM</t>
  </si>
  <si>
    <t>AR3186</t>
  </si>
  <si>
    <t>Longsight Health Centre - FM</t>
  </si>
  <si>
    <t>Moss Side Health Centre - FM</t>
  </si>
  <si>
    <t>AR3190</t>
  </si>
  <si>
    <t>Newton Heath Health Centre - FM</t>
  </si>
  <si>
    <t>AR3191</t>
  </si>
  <si>
    <t>Newton Silk Mill - Ground Floor - FM</t>
  </si>
  <si>
    <t>Northenden Health Centre - FM</t>
  </si>
  <si>
    <t>AR3198</t>
  </si>
  <si>
    <t>Northern Moor Clinic - FM</t>
  </si>
  <si>
    <t>Parkway Business Centre 1 - FM</t>
  </si>
  <si>
    <t>Parkway Business Centre 3 - FM</t>
  </si>
  <si>
    <t>AR3201</t>
  </si>
  <si>
    <t>Parkway Business Centre 5 -1st Flr - FM</t>
  </si>
  <si>
    <t>AR3202</t>
  </si>
  <si>
    <t>Parkway Business Centre 5 -Grnd Flr - FM</t>
  </si>
  <si>
    <t>AR3204</t>
  </si>
  <si>
    <t>Plant Hill Clinic - FM</t>
  </si>
  <si>
    <t>AR3205</t>
  </si>
  <si>
    <t>Rodney House School - FM</t>
  </si>
  <si>
    <t>Rusholme Health Centre - FM</t>
  </si>
  <si>
    <t>Stancliffe Rd (Wythenshawe Offices) - FM</t>
  </si>
  <si>
    <t>The City Works - FM</t>
  </si>
  <si>
    <t>AR3211</t>
  </si>
  <si>
    <t>Victoria Mill - Second Floor - FM</t>
  </si>
  <si>
    <t>AR3213</t>
  </si>
  <si>
    <t>Victoria Mill Clinic - FM</t>
  </si>
  <si>
    <t>Withington Clinic - FM</t>
  </si>
  <si>
    <t>AR3227</t>
  </si>
  <si>
    <t>Unit 4 Quebec Street - FM</t>
  </si>
  <si>
    <t>AR3239</t>
  </si>
  <si>
    <t>Arndale Chambers - FM</t>
  </si>
  <si>
    <t>AR3240</t>
  </si>
  <si>
    <t>Avondale Health Centre - FM</t>
  </si>
  <si>
    <t>AR3241</t>
  </si>
  <si>
    <t>Blackrod Health Centre - FM</t>
  </si>
  <si>
    <t>AR3245</t>
  </si>
  <si>
    <t>Crompton Way Health Centre - FM</t>
  </si>
  <si>
    <t>AR3248</t>
  </si>
  <si>
    <t>Egerton &amp; Dunscar Health Centre - FM</t>
  </si>
  <si>
    <t>AR3249</t>
  </si>
  <si>
    <t>Farnworth Health Centre - FM</t>
  </si>
  <si>
    <t>AR3250</t>
  </si>
  <si>
    <t>Great Lever Health Centre - FM</t>
  </si>
  <si>
    <t>AR3251</t>
  </si>
  <si>
    <t>Halliwell Childrens Centre - FM</t>
  </si>
  <si>
    <t>AR3253</t>
  </si>
  <si>
    <t>Horwich Clinic - FM</t>
  </si>
  <si>
    <t>AR3254</t>
  </si>
  <si>
    <t>Hulton Lane - FM</t>
  </si>
  <si>
    <t>AR3256</t>
  </si>
  <si>
    <t>Ladybridge Surgery - FM</t>
  </si>
  <si>
    <t>AR3257</t>
  </si>
  <si>
    <t>Lever Chambers Centre For Health - FM</t>
  </si>
  <si>
    <t>AR3258</t>
  </si>
  <si>
    <t>Little Lever Health Centre - FM</t>
  </si>
  <si>
    <t>AR3259</t>
  </si>
  <si>
    <t>Market Surgery - FM</t>
  </si>
  <si>
    <t>AR3260</t>
  </si>
  <si>
    <t>Parallel - FM</t>
  </si>
  <si>
    <t>AR3261</t>
  </si>
  <si>
    <t>Pikes Lane Centre - FM</t>
  </si>
  <si>
    <t>St Peter s House - FM</t>
  </si>
  <si>
    <t>AR3264</t>
  </si>
  <si>
    <t>Tonge Moor Health Centre - FM</t>
  </si>
  <si>
    <t>AR3265</t>
  </si>
  <si>
    <t>Waters Meeting Health Centre - FM</t>
  </si>
  <si>
    <t>AR3266</t>
  </si>
  <si>
    <t>Westhoughton Clinic - FM</t>
  </si>
  <si>
    <t>21 Silver Street - FM</t>
  </si>
  <si>
    <t>AR3286</t>
  </si>
  <si>
    <t>Maple House - FM</t>
  </si>
  <si>
    <t>AR3287</t>
  </si>
  <si>
    <t>Mile Lane Health Centre - FM</t>
  </si>
  <si>
    <t>AR3288</t>
  </si>
  <si>
    <t>Moorgate Primary Care Centre - FM</t>
  </si>
  <si>
    <t>AR3291</t>
  </si>
  <si>
    <t>Prestwich Health Centre &amp; Wic - FM</t>
  </si>
  <si>
    <t>AR3292</t>
  </si>
  <si>
    <t>Radcliffe Primary Care Centre - LIFT - FM</t>
  </si>
  <si>
    <t>AR3294</t>
  </si>
  <si>
    <t>Ramsbottom Health Centre - FM</t>
  </si>
  <si>
    <t>AR3296</t>
  </si>
  <si>
    <t>Sunnybank Clinic - FM</t>
  </si>
  <si>
    <t>AR3297</t>
  </si>
  <si>
    <t>Tottington Health Centre - FM</t>
  </si>
  <si>
    <t>AR3298</t>
  </si>
  <si>
    <t>Townside Primary Care Centre - FM</t>
  </si>
  <si>
    <t>AR3299</t>
  </si>
  <si>
    <t>Whitefield Health Centre - FM</t>
  </si>
  <si>
    <t>AR3313</t>
  </si>
  <si>
    <t>15C Chichester Business Unit - FM</t>
  </si>
  <si>
    <t>AR3314</t>
  </si>
  <si>
    <t>Alkrington Health Centre - LIFT - FM</t>
  </si>
  <si>
    <t>AR3315</t>
  </si>
  <si>
    <t>Birtle View Medical Practice - FM</t>
  </si>
  <si>
    <t>AR3319</t>
  </si>
  <si>
    <t>Kirkholt Medical Centre - FM</t>
  </si>
  <si>
    <t>AR3320</t>
  </si>
  <si>
    <t>Littleborough Health Centre - FM</t>
  </si>
  <si>
    <t>AR3323</t>
  </si>
  <si>
    <t>Nye Bevan House - LIFT - FM</t>
  </si>
  <si>
    <t>Sherwood Park - FM</t>
  </si>
  <si>
    <t>AR3342</t>
  </si>
  <si>
    <t>Block 4 Southlink Business Park - FM</t>
  </si>
  <si>
    <t>AR3344</t>
  </si>
  <si>
    <t>Chadderton South Health Centre - FM</t>
  </si>
  <si>
    <t>AR3345</t>
  </si>
  <si>
    <t>Chadderton Town Health Centre - FM</t>
  </si>
  <si>
    <t>AR3346</t>
  </si>
  <si>
    <t>Chew Vale - LIFT - FM</t>
  </si>
  <si>
    <t>AR3347</t>
  </si>
  <si>
    <t>Community Premises - FM</t>
  </si>
  <si>
    <t>AR3348</t>
  </si>
  <si>
    <t>Crompton Health Centre - FM</t>
  </si>
  <si>
    <t>AR3350</t>
  </si>
  <si>
    <t>Egerton House Rock Street - FM</t>
  </si>
  <si>
    <t>AR3351</t>
  </si>
  <si>
    <t>Ellen House - FM</t>
  </si>
  <si>
    <t>AR3352</t>
  </si>
  <si>
    <t>Failsworth PC Rsrce Cntr (Unit F3) - FM</t>
  </si>
  <si>
    <t>AR3354</t>
  </si>
  <si>
    <t>Fitton Hill Medical Centre - FM</t>
  </si>
  <si>
    <t>AR3355</t>
  </si>
  <si>
    <t>Glodwick Primary Care Centre - LIFT - FM</t>
  </si>
  <si>
    <t>AR3356</t>
  </si>
  <si>
    <t>Hollinwood Medical Practice - FM</t>
  </si>
  <si>
    <t>AR3359</t>
  </si>
  <si>
    <t>Lindley House - FM</t>
  </si>
  <si>
    <t>AR3360</t>
  </si>
  <si>
    <t>Moorside Medical Centre - LIFT - FM</t>
  </si>
  <si>
    <t>AR3361</t>
  </si>
  <si>
    <t>Oldham Integrated Care Centre - LIFT - FM</t>
  </si>
  <si>
    <t>AR3362</t>
  </si>
  <si>
    <t>Royton Health And Wellbeing Centre - LIFT - FM</t>
  </si>
  <si>
    <t>AR3365</t>
  </si>
  <si>
    <t>St Chads Centre - FM</t>
  </si>
  <si>
    <t>AR3366</t>
  </si>
  <si>
    <t>Uppermill Health Centre - FM</t>
  </si>
  <si>
    <t>AR3367</t>
  </si>
  <si>
    <t>Werneth Primary Care Centre - LIFT - FM</t>
  </si>
  <si>
    <t>AR3385</t>
  </si>
  <si>
    <t>6 Blackcroft Close - FM</t>
  </si>
  <si>
    <t>AR3387</t>
  </si>
  <si>
    <t>Blackfriars Medical Practice - FM</t>
  </si>
  <si>
    <t>AR3391</t>
  </si>
  <si>
    <t>Energise Healthy Living Centre - LIFT - FM</t>
  </si>
  <si>
    <t>AR3393</t>
  </si>
  <si>
    <t>Higher Broughton Health Centre - FM</t>
  </si>
  <si>
    <t>Lance Burn Health Centre - FM</t>
  </si>
  <si>
    <t>AR3395</t>
  </si>
  <si>
    <t>Langworthy Cornerstone - FM</t>
  </si>
  <si>
    <t>AR3396</t>
  </si>
  <si>
    <t>Little Hulton Walk In Centre - FM</t>
  </si>
  <si>
    <t>AR3397</t>
  </si>
  <si>
    <t>Mosslands Medical Centre - FM</t>
  </si>
  <si>
    <t>Ordsall Health Centre - FM</t>
  </si>
  <si>
    <t>AR3400</t>
  </si>
  <si>
    <t>Pendlebury Health Centre - FM</t>
  </si>
  <si>
    <t>AR3403</t>
  </si>
  <si>
    <t>Pendleton Medical Centre - FM</t>
  </si>
  <si>
    <t>Sandringham House,Grnd,1st&amp;2nd Flrs - FM</t>
  </si>
  <si>
    <t>AR3405</t>
  </si>
  <si>
    <t>Sentinal House A Block 3Rd Floor - FM</t>
  </si>
  <si>
    <t>AR3410</t>
  </si>
  <si>
    <t>St Andrews Medical Centre - FM</t>
  </si>
  <si>
    <t>AR3412</t>
  </si>
  <si>
    <t>St James s House 1st Flr Rear Wing - FM</t>
  </si>
  <si>
    <t>St James s House Mezzaine Frnt Wing - FM</t>
  </si>
  <si>
    <t>AR3421</t>
  </si>
  <si>
    <t>Swinton Clinic - FM</t>
  </si>
  <si>
    <t>AR3422</t>
  </si>
  <si>
    <t>The Angel Health Living Centre - FM</t>
  </si>
  <si>
    <t>AR3423</t>
  </si>
  <si>
    <t>The Willows Resource Centre - FM</t>
  </si>
  <si>
    <t>AR3424</t>
  </si>
  <si>
    <t>Total Fitness - FM</t>
  </si>
  <si>
    <t>AR3425</t>
  </si>
  <si>
    <t>Unit 24, 24 Hulton District Centre - FM</t>
  </si>
  <si>
    <t>AR3426</t>
  </si>
  <si>
    <t>Walkden Clinic - FM</t>
  </si>
  <si>
    <t>AR3427</t>
  </si>
  <si>
    <t>Walkden Gateway Centre - LIFT - FM</t>
  </si>
  <si>
    <t>AR3428</t>
  </si>
  <si>
    <t>Willow Tree Healthy Living Centre - LIFT - FM</t>
  </si>
  <si>
    <t>AR3449</t>
  </si>
  <si>
    <t>Beckwith House - FM</t>
  </si>
  <si>
    <t>AR3451</t>
  </si>
  <si>
    <t>Bramhall Health Centre - FM</t>
  </si>
  <si>
    <t>AR3452</t>
  </si>
  <si>
    <t>Brinnignton Health Centre - FM</t>
  </si>
  <si>
    <t>AR3453</t>
  </si>
  <si>
    <t>Cheadle Hulme Health Centre - FM</t>
  </si>
  <si>
    <t>AR3455</t>
  </si>
  <si>
    <t>Crossley House - FM</t>
  </si>
  <si>
    <t>AR3456</t>
  </si>
  <si>
    <t>Graylaw House - FM</t>
  </si>
  <si>
    <t>AR3457</t>
  </si>
  <si>
    <t>Hazel Grove Clinic - FM</t>
  </si>
  <si>
    <t>AR3458</t>
  </si>
  <si>
    <t>Heald Green Health Centre - FM</t>
  </si>
  <si>
    <t>AR3459</t>
  </si>
  <si>
    <t>Heaton Norris Health Centre - FM</t>
  </si>
  <si>
    <t>AR3460</t>
  </si>
  <si>
    <t>Kennedy Way - FM</t>
  </si>
  <si>
    <t>AR3461</t>
  </si>
  <si>
    <t>Kingsgate - FM</t>
  </si>
  <si>
    <t>AR3462</t>
  </si>
  <si>
    <t>Marple Clinic - FM</t>
  </si>
  <si>
    <t>AR3463</t>
  </si>
  <si>
    <t>North Reddish Clinic - FM</t>
  </si>
  <si>
    <t>AR3464</t>
  </si>
  <si>
    <t>Offerton Health Centre - FM</t>
  </si>
  <si>
    <t>AR3465</t>
  </si>
  <si>
    <t>Offerton Ldrc - FM</t>
  </si>
  <si>
    <t>Regent House N33 - FM</t>
  </si>
  <si>
    <t>AR3467</t>
  </si>
  <si>
    <t>Romiley Health Centre - FM</t>
  </si>
  <si>
    <t>AR3468</t>
  </si>
  <si>
    <t>Shaw Heath Health Centre - FM</t>
  </si>
  <si>
    <t>AR3469</t>
  </si>
  <si>
    <t>South Reddish Clinic - FM</t>
  </si>
  <si>
    <t>AR3470</t>
  </si>
  <si>
    <t>St Petersgate - FM</t>
  </si>
  <si>
    <t>AR3471</t>
  </si>
  <si>
    <t>St Thomas Hospital - FM</t>
  </si>
  <si>
    <t>AR3472</t>
  </si>
  <si>
    <t>Woodley Health Centre - FM</t>
  </si>
  <si>
    <t>AR3473</t>
  </si>
  <si>
    <t>Gatley Medical Centre - FM</t>
  </si>
  <si>
    <t>AR3474</t>
  </si>
  <si>
    <t>Heaton Moor Medical Centre - FM</t>
  </si>
  <si>
    <t>AR3489</t>
  </si>
  <si>
    <t>Albion Drive Medical Centre - FM</t>
  </si>
  <si>
    <t>AR3490</t>
  </si>
  <si>
    <t>Ann Street Clinic - FM</t>
  </si>
  <si>
    <t>AR3491</t>
  </si>
  <si>
    <t>Ashton Primary Care Centre - LIFT - FM</t>
  </si>
  <si>
    <t>Century House N33 - FM</t>
  </si>
  <si>
    <t>AR3496</t>
  </si>
  <si>
    <t>Craven Street - FM</t>
  </si>
  <si>
    <t>AR3497</t>
  </si>
  <si>
    <t>Crickets Lane - FM</t>
  </si>
  <si>
    <t>AR3498</t>
  </si>
  <si>
    <t>Dewsnap Lane - FM</t>
  </si>
  <si>
    <t>AR3499</t>
  </si>
  <si>
    <t>Glossop Primary Care Centre - LIFT - FM</t>
  </si>
  <si>
    <t>AR3500</t>
  </si>
  <si>
    <t>Great Norbery Street - FM</t>
  </si>
  <si>
    <t>AR3502</t>
  </si>
  <si>
    <t>Guide Lane Medical Centre - FM</t>
  </si>
  <si>
    <t>AR3503</t>
  </si>
  <si>
    <t>Hattersley - FM</t>
  </si>
  <si>
    <t>AR3504</t>
  </si>
  <si>
    <t>Haughton Green - FM</t>
  </si>
  <si>
    <t>AR3505</t>
  </si>
  <si>
    <t>Hollingworth - FM</t>
  </si>
  <si>
    <t>AR3510</t>
  </si>
  <si>
    <t>Mossley - FM</t>
  </si>
  <si>
    <t>New Century House - FM</t>
  </si>
  <si>
    <t>AR3512</t>
  </si>
  <si>
    <t>Rowan House - FM</t>
  </si>
  <si>
    <t>AR3513</t>
  </si>
  <si>
    <t>Selbourne House - FM</t>
  </si>
  <si>
    <t>AR3515</t>
  </si>
  <si>
    <t>Shire Hill Hospital Admin Block - FM</t>
  </si>
  <si>
    <t>AR3516</t>
  </si>
  <si>
    <t>Shire Hill Hospital Ward Block - FM</t>
  </si>
  <si>
    <t>AR3519</t>
  </si>
  <si>
    <t>Union Street Clinic 2 N33 - FM</t>
  </si>
  <si>
    <t>AR3520</t>
  </si>
  <si>
    <t>Unit 8 Wheelchair Centre - FM</t>
  </si>
  <si>
    <t>AR3522</t>
  </si>
  <si>
    <t>Waterloo Street Clinic, Stalybridge - FM</t>
  </si>
  <si>
    <t>AR3523</t>
  </si>
  <si>
    <t>Wharfinger House - FM</t>
  </si>
  <si>
    <t>AR3541</t>
  </si>
  <si>
    <t>Bodmin Road Health Centre - FM</t>
  </si>
  <si>
    <t>AR3542</t>
  </si>
  <si>
    <t>Bridgewater Road Surgery - FM</t>
  </si>
  <si>
    <t>AR3543</t>
  </si>
  <si>
    <t>Broomfield Lane Clinic - FM</t>
  </si>
  <si>
    <t>AR3544</t>
  </si>
  <si>
    <t>Chapel Road Clinic - FM</t>
  </si>
  <si>
    <t>Conway Road Health Centre - FM</t>
  </si>
  <si>
    <t>AR3546</t>
  </si>
  <si>
    <t>Cornhill Clinic - FM</t>
  </si>
  <si>
    <t>AR3547</t>
  </si>
  <si>
    <t>Delamere Health Centre - FM</t>
  </si>
  <si>
    <t>AR3548</t>
  </si>
  <si>
    <t>Meadway Health Centre - FM</t>
  </si>
  <si>
    <t>Oakland House - FM</t>
  </si>
  <si>
    <t>AR3553</t>
  </si>
  <si>
    <t>Seymour Grove Health Centre - FM</t>
  </si>
  <si>
    <t>AR3556</t>
  </si>
  <si>
    <t>Timperley Health Centre - FM</t>
  </si>
  <si>
    <t>AR3557</t>
  </si>
  <si>
    <t>Woodsend Clinic - FM</t>
  </si>
  <si>
    <t>AR3574</t>
  </si>
  <si>
    <t>Beech Hill Centre - FM</t>
  </si>
  <si>
    <t>AR3575</t>
  </si>
  <si>
    <t>Bridgewater Medical Centre - FM</t>
  </si>
  <si>
    <t>AR3595</t>
  </si>
  <si>
    <t>155 Wigan Road - FM</t>
  </si>
  <si>
    <t>AR3614</t>
  </si>
  <si>
    <t>Ashurst Health Centre - FM</t>
  </si>
  <si>
    <t>AR3616</t>
  </si>
  <si>
    <t>Bamber Bridge Clinic - FM</t>
  </si>
  <si>
    <t>AR3617</t>
  </si>
  <si>
    <t>Birleywood Health Centre - FM</t>
  </si>
  <si>
    <t>AR3618</t>
  </si>
  <si>
    <t>Buckshaw Village Health Centre - FM</t>
  </si>
  <si>
    <t>AR3619</t>
  </si>
  <si>
    <t>Burscough Health Centre - FM</t>
  </si>
  <si>
    <t>AR3620</t>
  </si>
  <si>
    <t>Child Development Centre - Southport - FM</t>
  </si>
  <si>
    <t>AR3622</t>
  </si>
  <si>
    <t>Chorley Health Centre - FM</t>
  </si>
  <si>
    <t>AR3623</t>
  </si>
  <si>
    <t>Community Equipment Resource Centre - FM</t>
  </si>
  <si>
    <t>Croston House - FM</t>
  </si>
  <si>
    <t>AR3625</t>
  </si>
  <si>
    <t>Eccleston Clinic - FM</t>
  </si>
  <si>
    <t>AR3627</t>
  </si>
  <si>
    <t>Euxton Medical Centre - FM</t>
  </si>
  <si>
    <t>AR3628</t>
  </si>
  <si>
    <t>Geoffrey St Hc - FM</t>
  </si>
  <si>
    <t>AR3630</t>
  </si>
  <si>
    <t>Hillside Health Centre - FM</t>
  </si>
  <si>
    <t>AR3631</t>
  </si>
  <si>
    <t>Ingol Hc - FM</t>
  </si>
  <si>
    <t>Jubilee House - FM</t>
  </si>
  <si>
    <t>AR3634</t>
  </si>
  <si>
    <t>Leyland Clinic - FM</t>
  </si>
  <si>
    <t>AR3635</t>
  </si>
  <si>
    <t>Leyland House - FM</t>
  </si>
  <si>
    <t>AR3636</t>
  </si>
  <si>
    <t>Longton Hc - FM</t>
  </si>
  <si>
    <t>AR3637</t>
  </si>
  <si>
    <t>Minerva Hc - FM</t>
  </si>
  <si>
    <t>Ormskirk Hq Offices - FM</t>
  </si>
  <si>
    <t>AR3643</t>
  </si>
  <si>
    <t>Penwortham Hc - FM</t>
  </si>
  <si>
    <t>Preston Healthport - FM</t>
  </si>
  <si>
    <t>AR3645</t>
  </si>
  <si>
    <t>Sandy Lane Hc - FM</t>
  </si>
  <si>
    <t>AR3646</t>
  </si>
  <si>
    <t>Tarleton Hc - FM</t>
  </si>
  <si>
    <t>AR3648</t>
  </si>
  <si>
    <t>Withnell Hc - FM</t>
  </si>
  <si>
    <t>AR3649</t>
  </si>
  <si>
    <t>Accrington Pals PHC Centre - LIFT - FM</t>
  </si>
  <si>
    <t>AR3650</t>
  </si>
  <si>
    <t>Acorn Primary Care Centre - LIFT - FM</t>
  </si>
  <si>
    <t>AR3652</t>
  </si>
  <si>
    <t>Bacup Primary Health Care Centre - LIFT - FM</t>
  </si>
  <si>
    <t>AR3653</t>
  </si>
  <si>
    <t>Barnoldswick Clinic - FM</t>
  </si>
  <si>
    <t>AR3654</t>
  </si>
  <si>
    <t>Briercliffe Primary Care Centre - LIFT - FM</t>
  </si>
  <si>
    <t>AR3655</t>
  </si>
  <si>
    <t>Brierfield Health Centre - FM</t>
  </si>
  <si>
    <t>AR3657</t>
  </si>
  <si>
    <t>Burnley House - FM</t>
  </si>
  <si>
    <t>AR3658</t>
  </si>
  <si>
    <t>Clayton Le Moors Clinic - FM</t>
  </si>
  <si>
    <t>AR3660</t>
  </si>
  <si>
    <t>Clitheroe Health Centre - FM</t>
  </si>
  <si>
    <t>AR3661</t>
  </si>
  <si>
    <t>Colne Health Centre - FM</t>
  </si>
  <si>
    <t>AR3664</t>
  </si>
  <si>
    <t>Eagle Street Building - FM</t>
  </si>
  <si>
    <t>AR3666</t>
  </si>
  <si>
    <t>Gt Harwood Health Centre - FM</t>
  </si>
  <si>
    <t>AR3667</t>
  </si>
  <si>
    <t>Haslingden Health Centre - FM</t>
  </si>
  <si>
    <t>AR3669</t>
  </si>
  <si>
    <t>Kiddrow Lane Health Centre - FM</t>
  </si>
  <si>
    <t>AR3670</t>
  </si>
  <si>
    <t>Lancashire House - FM</t>
  </si>
  <si>
    <t>AR3671</t>
  </si>
  <si>
    <t>Leeds Rd, Nelson, 211-219 - FM</t>
  </si>
  <si>
    <t>AR3673</t>
  </si>
  <si>
    <t>Loan Store-Altham - East Lancashire - FM</t>
  </si>
  <si>
    <t>AR3675</t>
  </si>
  <si>
    <t>New Lane, 42, Oswaldtwistle - FM</t>
  </si>
  <si>
    <t>AR3677</t>
  </si>
  <si>
    <t>Oswaldtwistle Clinic - FM</t>
  </si>
  <si>
    <t>AR3678</t>
  </si>
  <si>
    <t>Padiham Clinic - FM</t>
  </si>
  <si>
    <t>AR3679</t>
  </si>
  <si>
    <t>Peel House N34 - FM</t>
  </si>
  <si>
    <t>AR3680</t>
  </si>
  <si>
    <t>Petre Court, Unit 1 - FM</t>
  </si>
  <si>
    <t>AR3683</t>
  </si>
  <si>
    <t>Reedley Hall Child Develpmnt Centre - FM</t>
  </si>
  <si>
    <t>AR3685</t>
  </si>
  <si>
    <t>Rossendale Pcc - LIFT - FM</t>
  </si>
  <si>
    <t>AR3686</t>
  </si>
  <si>
    <t>Slaidburn Health Centre - FM</t>
  </si>
  <si>
    <t>AR3687</t>
  </si>
  <si>
    <t>St Peter s PHC Centre - LIFT - FM</t>
  </si>
  <si>
    <t>Walshaw House - FM</t>
  </si>
  <si>
    <t>AR3689</t>
  </si>
  <si>
    <t>Waterfoot Health Centre - FM</t>
  </si>
  <si>
    <t>AR3691</t>
  </si>
  <si>
    <t>Yarnspinners PHC Centre - LIFT - FM</t>
  </si>
  <si>
    <t>Moor Lane Mills 1 And 2 - FM</t>
  </si>
  <si>
    <t>AR3716</t>
  </si>
  <si>
    <t>Moorpark Offices/Sewing Room - FM</t>
  </si>
  <si>
    <t>AR3736</t>
  </si>
  <si>
    <t>Adlington Clinic - FM</t>
  </si>
  <si>
    <t>AR3737</t>
  </si>
  <si>
    <t>Clayton Brook Clinic - FM</t>
  </si>
  <si>
    <t>AR3738</t>
  </si>
  <si>
    <t>Fulwood Clinic - FM</t>
  </si>
  <si>
    <t>AR3739</t>
  </si>
  <si>
    <t>Ribbleton Clinic - FM</t>
  </si>
  <si>
    <t>AR3740</t>
  </si>
  <si>
    <t>Avenham Health Centre - FM</t>
  </si>
  <si>
    <t>AR3741</t>
  </si>
  <si>
    <t>Ashton Health Centre - FM</t>
  </si>
  <si>
    <t>AR3742</t>
  </si>
  <si>
    <t>Brookfield Clinic - FM</t>
  </si>
  <si>
    <t>AR3743</t>
  </si>
  <si>
    <t>AR3744</t>
  </si>
  <si>
    <t>Saul Street Clinic - FM</t>
  </si>
  <si>
    <t>AR3745</t>
  </si>
  <si>
    <t>93, Garstang Road - FM</t>
  </si>
  <si>
    <t>AR3746</t>
  </si>
  <si>
    <t>Longridge Community Hospital - FM</t>
  </si>
  <si>
    <t>AR3747</t>
  </si>
  <si>
    <t>Ringway Dental Surgery - FM</t>
  </si>
  <si>
    <t>AR3748</t>
  </si>
  <si>
    <t>Shawbrook House - FM</t>
  </si>
  <si>
    <t>AR3750</t>
  </si>
  <si>
    <t>Coppull Clinic - FM</t>
  </si>
  <si>
    <t>AR3756</t>
  </si>
  <si>
    <t>N34-2 - FM</t>
  </si>
  <si>
    <t>AR3757</t>
  </si>
  <si>
    <t>New Colne Health Centre - FM</t>
  </si>
  <si>
    <t>AR3765</t>
  </si>
  <si>
    <t>Audley Health Centre - FM</t>
  </si>
  <si>
    <t>AR3766</t>
  </si>
  <si>
    <t>Bangor Street Health Centre - FM</t>
  </si>
  <si>
    <t>AR3767</t>
  </si>
  <si>
    <t>Barbara Castle Way Health Centre - LIFT - FM</t>
  </si>
  <si>
    <t>AR3769</t>
  </si>
  <si>
    <t>Bentham Road Health Centre - FM</t>
  </si>
  <si>
    <t>AR3771</t>
  </si>
  <si>
    <t>Darwen Health Centre - LIFT - FM</t>
  </si>
  <si>
    <t>AR3774</t>
  </si>
  <si>
    <t>Little Harwood Health Centre - FM</t>
  </si>
  <si>
    <t>AR3775</t>
  </si>
  <si>
    <t>Mellor Clinic - FM</t>
  </si>
  <si>
    <t>AR3777</t>
  </si>
  <si>
    <t>Parklee - FM</t>
  </si>
  <si>
    <t>AR3779</t>
  </si>
  <si>
    <t>Roman Road Health Centre - FM</t>
  </si>
  <si>
    <t>AR3781</t>
  </si>
  <si>
    <t>Waterside Hlth And Wellbeing Centre - FM</t>
  </si>
  <si>
    <t>AR3797</t>
  </si>
  <si>
    <t>Blackpool Football Stadium - (HQ) - FM</t>
  </si>
  <si>
    <t>AR3798</t>
  </si>
  <si>
    <t>Blackpool Football Stadium -Gateway - FM</t>
  </si>
  <si>
    <t>AR3799</t>
  </si>
  <si>
    <t>Citadel - Salvation Army - FM</t>
  </si>
  <si>
    <t>AR3800</t>
  </si>
  <si>
    <t>Connect Blackpool - FM</t>
  </si>
  <si>
    <t>AR3803</t>
  </si>
  <si>
    <t>Fleetwood Hospital Dental Clinic - FM</t>
  </si>
  <si>
    <t>AR3804</t>
  </si>
  <si>
    <t>Gorton Street Tabini - FM</t>
  </si>
  <si>
    <t>AR3808</t>
  </si>
  <si>
    <t>Kirkham Clinic Dental Unit - FM</t>
  </si>
  <si>
    <t>AR3810</t>
  </si>
  <si>
    <t>Newton Drive 3Pd - FM</t>
  </si>
  <si>
    <t>AR3811</t>
  </si>
  <si>
    <t>North Shore PCC 3Pd - FM</t>
  </si>
  <si>
    <t>AR3812</t>
  </si>
  <si>
    <t>South Shore PCC 3Pd - FM</t>
  </si>
  <si>
    <t>AR3813</t>
  </si>
  <si>
    <t>St Annes Medical Centre Dental Unit - FM</t>
  </si>
  <si>
    <t>AR3815</t>
  </si>
  <si>
    <t>Whitegate Health Centre - PFI - FM</t>
  </si>
  <si>
    <t>AR3855</t>
  </si>
  <si>
    <t>Park House - FM</t>
  </si>
  <si>
    <t>AR3862</t>
  </si>
  <si>
    <t>The Gables N35 - FM</t>
  </si>
  <si>
    <t>5 Curzon Road, Southport - FM</t>
  </si>
  <si>
    <t>AR3871</t>
  </si>
  <si>
    <t>Ainsdale Centre For Health - LIFT - FM</t>
  </si>
  <si>
    <t>AR3873</t>
  </si>
  <si>
    <t>Lincoln Road Clinic - FM</t>
  </si>
  <si>
    <t>AR3875</t>
  </si>
  <si>
    <t>Maghull Health Centre - FM</t>
  </si>
  <si>
    <t>Merton House, Floors 3 to 6 (incl) - FM</t>
  </si>
  <si>
    <t>AR3877</t>
  </si>
  <si>
    <t>Crosby Village Surgery - FM</t>
  </si>
  <si>
    <t>AR3878</t>
  </si>
  <si>
    <t>Crossways Surgery - FM</t>
  </si>
  <si>
    <t>AR3879</t>
  </si>
  <si>
    <t>Freshfield Surgery - FM</t>
  </si>
  <si>
    <t>AR3880</t>
  </si>
  <si>
    <t>Hightown Village Surgery - FM</t>
  </si>
  <si>
    <t>AR3881</t>
  </si>
  <si>
    <t>Maghull, Bartlett House - FM</t>
  </si>
  <si>
    <t>AR3882</t>
  </si>
  <si>
    <t>Seaforth Village Practice - FM</t>
  </si>
  <si>
    <t>AR3884</t>
  </si>
  <si>
    <t>Southport Cntr for Hlth &amp; Wellbeing - LIFT - FM</t>
  </si>
  <si>
    <t>AR3885</t>
  </si>
  <si>
    <t>Units 1C,2Ato2D,2F&amp;G,Burlington Hse - FM</t>
  </si>
  <si>
    <t>AR3886</t>
  </si>
  <si>
    <t>Prince Street Family Health Clinic - FM</t>
  </si>
  <si>
    <t>AR3891</t>
  </si>
  <si>
    <t>HM Prison Kennet - FM</t>
  </si>
  <si>
    <t>AR3900</t>
  </si>
  <si>
    <t>Windmill Hill Primary School (Darzi) - FM</t>
  </si>
  <si>
    <t>AR3904</t>
  </si>
  <si>
    <t>The Withens - FM</t>
  </si>
  <si>
    <t>AR3905</t>
  </si>
  <si>
    <t>Ropewalks Health Centre - FM</t>
  </si>
  <si>
    <t>AR3961</t>
  </si>
  <si>
    <t>2 Hazel Cottage - FM</t>
  </si>
  <si>
    <t>AR3962</t>
  </si>
  <si>
    <t>7 Rowan Cottage - FM</t>
  </si>
  <si>
    <t>AR3964</t>
  </si>
  <si>
    <t>Abercromby Health Centre - FM</t>
  </si>
  <si>
    <t>Arthouse Sq - FM</t>
  </si>
  <si>
    <t>AR3966</t>
  </si>
  <si>
    <t>Belle Vale Neighbourhood Hlth Cntr - FM</t>
  </si>
  <si>
    <t>Bevan House N35 - FM</t>
  </si>
  <si>
    <t>AR3968</t>
  </si>
  <si>
    <t>Breeze Hill Neighbourhood Hlth Cntr - LIFT - FM</t>
  </si>
  <si>
    <t>AR3969</t>
  </si>
  <si>
    <t>Childwall Neighbourhood Hlth Cntr - LIFT - FM</t>
  </si>
  <si>
    <t>AR3970</t>
  </si>
  <si>
    <t>Community Equipment Store - Greylaw - FM</t>
  </si>
  <si>
    <t>AR3971</t>
  </si>
  <si>
    <t>Croxteth Family Health Clinic - FM</t>
  </si>
  <si>
    <t>AR3972</t>
  </si>
  <si>
    <t>Edge Hill Health Centre - FM</t>
  </si>
  <si>
    <t>AR3974</t>
  </si>
  <si>
    <t>Everton Road Record Store - FM</t>
  </si>
  <si>
    <t>AR3977</t>
  </si>
  <si>
    <t>Kensington Medical Centre - FM</t>
  </si>
  <si>
    <t>AR3978</t>
  </si>
  <si>
    <t>Kensington Neighbourhood HC - LIFT - FM</t>
  </si>
  <si>
    <t>AR3981</t>
  </si>
  <si>
    <t>Lathom Court (Tenancy At Will) - FM</t>
  </si>
  <si>
    <t>AR3983</t>
  </si>
  <si>
    <t>Marybone Health Centre - FM</t>
  </si>
  <si>
    <t>AR3984</t>
  </si>
  <si>
    <t>Mere Lane Neighbourhood Hlth Centre - LIFT - FM</t>
  </si>
  <si>
    <t>AR3985</t>
  </si>
  <si>
    <t>Montrose Business Park - Unit 2 - FM</t>
  </si>
  <si>
    <t>AR3986</t>
  </si>
  <si>
    <t>Netherley Health Centre - FM</t>
  </si>
  <si>
    <t>AR3989</t>
  </si>
  <si>
    <t>Park View (Only Got Draft Lease) - FM</t>
  </si>
  <si>
    <t>AR3990</t>
  </si>
  <si>
    <t>Picton Neighbourhood Health Centre - LIFT - FM</t>
  </si>
  <si>
    <t>AR3992</t>
  </si>
  <si>
    <t>Progress House - FM</t>
  </si>
  <si>
    <t>Regatta House - FM</t>
  </si>
  <si>
    <t>AR3994</t>
  </si>
  <si>
    <t>Ropewalks - FM</t>
  </si>
  <si>
    <t>AR3995</t>
  </si>
  <si>
    <t>Saunders House - FM</t>
  </si>
  <si>
    <t>AR3996</t>
  </si>
  <si>
    <t>Sheil Park Clinic - FM</t>
  </si>
  <si>
    <t>AR3997</t>
  </si>
  <si>
    <t>South Liverpool NHS Treatment Cntr - LIFT - FM</t>
  </si>
  <si>
    <t>AR3998</t>
  </si>
  <si>
    <t>Speke Health Centre - LIFT - FM</t>
  </si>
  <si>
    <t>AR3999</t>
  </si>
  <si>
    <t>St James Health Centre N35 - FM</t>
  </si>
  <si>
    <t>AR4000</t>
  </si>
  <si>
    <t>Netherfield Road Clinic - FM</t>
  </si>
  <si>
    <t>AR4001</t>
  </si>
  <si>
    <t>Townsend Lane Neighbourhood HC - LIFT - FM</t>
  </si>
  <si>
    <t>AR4002</t>
  </si>
  <si>
    <t>The Riverside Centre For Health - FM</t>
  </si>
  <si>
    <t>AR4003</t>
  </si>
  <si>
    <t>Vauxhall Health Centre - FM</t>
  </si>
  <si>
    <t>AR4005</t>
  </si>
  <si>
    <t>West Speke (Portacabin) (No Lease) - FM</t>
  </si>
  <si>
    <t>AR4007</t>
  </si>
  <si>
    <t>Yewtreee - FM</t>
  </si>
  <si>
    <t>AR4026</t>
  </si>
  <si>
    <t>267 Beverley Road - FM</t>
  </si>
  <si>
    <t>AR4028</t>
  </si>
  <si>
    <t>Alexandra Healthcare Centre - LIFT - FM</t>
  </si>
  <si>
    <t>AR4030</t>
  </si>
  <si>
    <t>Bilton Grange Health Centre - LIFT - FM</t>
  </si>
  <si>
    <t>AR4032</t>
  </si>
  <si>
    <t>BRANSHOLME HEALTH CENTRE - LIFT - FM</t>
  </si>
  <si>
    <t>AR4033</t>
  </si>
  <si>
    <t>Calvert Lane Healthcare Centre - LIFT - FM</t>
  </si>
  <si>
    <t>AR4036</t>
  </si>
  <si>
    <t>Expressive Arts Centre - FM</t>
  </si>
  <si>
    <t>AR4040</t>
  </si>
  <si>
    <t>Highlands Health Centre - FM</t>
  </si>
  <si>
    <t>AR4041</t>
  </si>
  <si>
    <t>Hull Dental Access Centre - FM</t>
  </si>
  <si>
    <t>AR4042</t>
  </si>
  <si>
    <t>Kingston Medical Centre - FM</t>
  </si>
  <si>
    <t>AR4044</t>
  </si>
  <si>
    <t>KINGSWOOD HEALTH CENTRE - LIFT - FM</t>
  </si>
  <si>
    <t>AR4045</t>
  </si>
  <si>
    <t>Longhill Healthcare Centre - LIFT - FM</t>
  </si>
  <si>
    <t>AR4046</t>
  </si>
  <si>
    <t>Marfleet Primary Healthcare Centre - LIFT - FM</t>
  </si>
  <si>
    <t>AR4047</t>
  </si>
  <si>
    <t>Marmaduke Health Centre - FM</t>
  </si>
  <si>
    <t>AR4048</t>
  </si>
  <si>
    <t>Minor Treatment Centre - FM</t>
  </si>
  <si>
    <t>AR4049</t>
  </si>
  <si>
    <t>Morrill Street Health Centre - FM</t>
  </si>
  <si>
    <t>AR4050</t>
  </si>
  <si>
    <t>Newington Healthcare Centre - LIFT - FM</t>
  </si>
  <si>
    <t>AR4052</t>
  </si>
  <si>
    <t>Park Healthcare Centre - LIFT - FM</t>
  </si>
  <si>
    <t>AR4053</t>
  </si>
  <si>
    <t>Riverside Medical Centre - Pod 2 - FM</t>
  </si>
  <si>
    <t>AR4054</t>
  </si>
  <si>
    <t>The Maltings - FM</t>
  </si>
  <si>
    <t>AR4055</t>
  </si>
  <si>
    <t>The Orchard Centre - LIFT - FM</t>
  </si>
  <si>
    <t>AR4057</t>
  </si>
  <si>
    <t>Westbourne Nhs Centre - FM</t>
  </si>
  <si>
    <t>Wilberforce Health Centre - LIFT - FM</t>
  </si>
  <si>
    <t>AR4077</t>
  </si>
  <si>
    <t>Ashby Clinic - FM</t>
  </si>
  <si>
    <t>AR4079</t>
  </si>
  <si>
    <t>Haldenby House - FM</t>
  </si>
  <si>
    <t>Health Place - FM</t>
  </si>
  <si>
    <t>AR4081</t>
  </si>
  <si>
    <t>Ironstone Centre - FM</t>
  </si>
  <si>
    <t>AR4082</t>
  </si>
  <si>
    <t>Riddings Clinic - FM</t>
  </si>
  <si>
    <t>AR4083</t>
  </si>
  <si>
    <t>Scawby House - FM</t>
  </si>
  <si>
    <t>AR4098</t>
  </si>
  <si>
    <t>Brough Primary Care Contact Centre - FM</t>
  </si>
  <si>
    <t>AR4099</t>
  </si>
  <si>
    <t>Four Winds - FM</t>
  </si>
  <si>
    <t>Health House - FM</t>
  </si>
  <si>
    <t>AR4102</t>
  </si>
  <si>
    <t>Hessle Health Centre - FM</t>
  </si>
  <si>
    <t>AR4103</t>
  </si>
  <si>
    <t>Withernsea Hospital - FM</t>
  </si>
  <si>
    <t>AR4129</t>
  </si>
  <si>
    <t>Acomb Health Centre, 1 Beech Grove - FM</t>
  </si>
  <si>
    <t>AR4132</t>
  </si>
  <si>
    <t>Bedale Health Clinic - FM</t>
  </si>
  <si>
    <t>AR4139</t>
  </si>
  <si>
    <t>Carrick House - FM</t>
  </si>
  <si>
    <t>AR4140</t>
  </si>
  <si>
    <t>Castleberg Hospital - FM</t>
  </si>
  <si>
    <t>AR4141</t>
  </si>
  <si>
    <t>Catterick Garrison Health Centre - FM</t>
  </si>
  <si>
    <t>AR4142</t>
  </si>
  <si>
    <t>Catterick Village Health Centre - FM</t>
  </si>
  <si>
    <t>AR4145</t>
  </si>
  <si>
    <t>Clifton Health Centre - FM</t>
  </si>
  <si>
    <t>AR4148</t>
  </si>
  <si>
    <t>Community Equipment Store Colburn - FM</t>
  </si>
  <si>
    <t>AR4150</t>
  </si>
  <si>
    <t>Cornlands Road Clinic - FM</t>
  </si>
  <si>
    <t>AR4151</t>
  </si>
  <si>
    <t>Easingwold Health Clinic - FM</t>
  </si>
  <si>
    <t>AR4153</t>
  </si>
  <si>
    <t>Facilities Management, Blue Beck Dr - FM</t>
  </si>
  <si>
    <t>AR4156</t>
  </si>
  <si>
    <t>Friary Hospital - PFI - FM</t>
  </si>
  <si>
    <t>AR4157</t>
  </si>
  <si>
    <t>Gibraltar House - FM</t>
  </si>
  <si>
    <t>AR4158</t>
  </si>
  <si>
    <t>Great Ayton Health Centre - FM</t>
  </si>
  <si>
    <t>AR4160</t>
  </si>
  <si>
    <t>Haxby and Wigginton Health Centre - FM</t>
  </si>
  <si>
    <t>AR4164</t>
  </si>
  <si>
    <t>Lambert Memorial Hospital - FM</t>
  </si>
  <si>
    <t>AR4165</t>
  </si>
  <si>
    <t>Leyburn Medical Practice - FM</t>
  </si>
  <si>
    <t>AR4170</t>
  </si>
  <si>
    <t>Monkgate Health Centre - FM</t>
  </si>
  <si>
    <t>AR4173</t>
  </si>
  <si>
    <t>Northway Clinic - FM</t>
  </si>
  <si>
    <t>AR4175</t>
  </si>
  <si>
    <t>Pickering Clinic - FM</t>
  </si>
  <si>
    <t>AR4179</t>
  </si>
  <si>
    <t>Settle Health Centre - FM</t>
  </si>
  <si>
    <t>AR4181</t>
  </si>
  <si>
    <t>Skipton General Hospital - FM</t>
  </si>
  <si>
    <t>AR4182</t>
  </si>
  <si>
    <t>Sovereign House York HQ - FM</t>
  </si>
  <si>
    <t>AR4186</t>
  </si>
  <si>
    <t>Stokesley Health Centre - FM</t>
  </si>
  <si>
    <t>AR4191</t>
  </si>
  <si>
    <t>Thirsk Health Centre - FM</t>
  </si>
  <si>
    <t>AR4194</t>
  </si>
  <si>
    <t>Wheelchair Cntr/Blue Beck Hse York - FM</t>
  </si>
  <si>
    <t>AR4195</t>
  </si>
  <si>
    <t>White Horse View - FM</t>
  </si>
  <si>
    <t>Omega Park - FM</t>
  </si>
  <si>
    <t>Alpha Court - FM</t>
  </si>
  <si>
    <t>AR4202</t>
  </si>
  <si>
    <t>Elliott Chappell Health Centre - LIFT - FM</t>
  </si>
  <si>
    <t>AR4210</t>
  </si>
  <si>
    <t>Pocklington Dental Access Centre - FM</t>
  </si>
  <si>
    <t>Triune Court - FM</t>
  </si>
  <si>
    <t>AR4214</t>
  </si>
  <si>
    <t>Morrill New Green - FM</t>
  </si>
  <si>
    <t>Hillder House - FM</t>
  </si>
  <si>
    <t>AR4248</t>
  </si>
  <si>
    <t>Dunvegan Road - FM</t>
  </si>
  <si>
    <t>AR4260</t>
  </si>
  <si>
    <t>Randall Park Resource Cntr Retford - FM</t>
  </si>
  <si>
    <t>Retford Hospital - FM</t>
  </si>
  <si>
    <t>AR4262</t>
  </si>
  <si>
    <t>Retford Primary Care Centre - LIFT - FM</t>
  </si>
  <si>
    <t>AR4263</t>
  </si>
  <si>
    <t>The Hurst Cheapside Worksop - FM</t>
  </si>
  <si>
    <t>AR4277</t>
  </si>
  <si>
    <t>Amersall Rd Clinic, Scawthorpe - FM</t>
  </si>
  <si>
    <t>AR4279</t>
  </si>
  <si>
    <t>Bawtry Health Centre - FM</t>
  </si>
  <si>
    <t>AR4280</t>
  </si>
  <si>
    <t>Bentley Health Centre N39 - FM</t>
  </si>
  <si>
    <t>AR4284</t>
  </si>
  <si>
    <t>Devonshire House - FM</t>
  </si>
  <si>
    <t>AR4288</t>
  </si>
  <si>
    <t>Hollybush Health Centre - FM</t>
  </si>
  <si>
    <t>AR4289</t>
  </si>
  <si>
    <t>Mexborough Health Centre - FM</t>
  </si>
  <si>
    <t>AR4290</t>
  </si>
  <si>
    <t>Sovereign House - FM</t>
  </si>
  <si>
    <t>AR4291</t>
  </si>
  <si>
    <t>Sprotborough Health Centre - FM</t>
  </si>
  <si>
    <t>AR4300</t>
  </si>
  <si>
    <t>West End Clinic Rossington - FM</t>
  </si>
  <si>
    <t>White Rose House N39 - FM</t>
  </si>
  <si>
    <t>AR4318</t>
  </si>
  <si>
    <t>Breathing Space - FM</t>
  </si>
  <si>
    <t>AR4322</t>
  </si>
  <si>
    <t>Dalton Health Centre - FM</t>
  </si>
  <si>
    <t>Oak House N39 - FM</t>
  </si>
  <si>
    <t>AR4327</t>
  </si>
  <si>
    <t>PLD &amp; 220 Badsley Moor Lane - FM</t>
  </si>
  <si>
    <t>AR4329</t>
  </si>
  <si>
    <t>Rawmarsh Service Centre - FM</t>
  </si>
  <si>
    <t>AR4331</t>
  </si>
  <si>
    <t>Ridgeway - FM</t>
  </si>
  <si>
    <t>AR4332</t>
  </si>
  <si>
    <t>Rosehill - FM</t>
  </si>
  <si>
    <t>AR4333</t>
  </si>
  <si>
    <t>Rotherham Community Health Centre - FM</t>
  </si>
  <si>
    <t>AR4335</t>
  </si>
  <si>
    <t>Thorpe Hesley Clinic - FM</t>
  </si>
  <si>
    <t>AR4337</t>
  </si>
  <si>
    <t>Wath Health Centre - FM</t>
  </si>
  <si>
    <t>AR4338</t>
  </si>
  <si>
    <t>Wickersley Health Centre - FM</t>
  </si>
  <si>
    <t>AR4354</t>
  </si>
  <si>
    <t>89 Green Lane, Sheffield - FM</t>
  </si>
  <si>
    <t>AR4357</t>
  </si>
  <si>
    <t>Brincliffe House, 90 Osborne Rd - FM</t>
  </si>
  <si>
    <t>AR4365</t>
  </si>
  <si>
    <t>Greenhill Health Centre - FM</t>
  </si>
  <si>
    <t>AR4367</t>
  </si>
  <si>
    <t>Ivy Lodge - FM</t>
  </si>
  <si>
    <t>AR4369</t>
  </si>
  <si>
    <t>Newfield Green - FM</t>
  </si>
  <si>
    <t>AR4373</t>
  </si>
  <si>
    <t>Sharrow Sure Start, 110 Sharrow Ln - FM</t>
  </si>
  <si>
    <t>AR4451</t>
  </si>
  <si>
    <t>Baildon Clinic - FM</t>
  </si>
  <si>
    <t>AR4452</t>
  </si>
  <si>
    <t>Barkerend Health Centre - FM</t>
  </si>
  <si>
    <t>AR4453</t>
  </si>
  <si>
    <t>Canalside Health Care Centre - LIFT - FM</t>
  </si>
  <si>
    <t>Douglas Mill - FM</t>
  </si>
  <si>
    <t>AR4459</t>
  </si>
  <si>
    <t>Eccleshill Clinic - FM</t>
  </si>
  <si>
    <t>AR4460</t>
  </si>
  <si>
    <t>Eccleshill Comm Hosp &amp; Outpatients - FM</t>
  </si>
  <si>
    <t>AR4462</t>
  </si>
  <si>
    <t>Fieldhead Street, Unit 8 - FM</t>
  </si>
  <si>
    <t>AR4463</t>
  </si>
  <si>
    <t>Fountain Hall - FM</t>
  </si>
  <si>
    <t>AR4464</t>
  </si>
  <si>
    <t>Haworth Medical Practice - LIFT - FM</t>
  </si>
  <si>
    <t>AR4465</t>
  </si>
  <si>
    <t>Haworth Road Health Centre - FM</t>
  </si>
  <si>
    <t>AR4467</t>
  </si>
  <si>
    <t>Hillside Bridge - LIFT - FM</t>
  </si>
  <si>
    <t>Holmewood Health Centre - FM</t>
  </si>
  <si>
    <t>AR4469</t>
  </si>
  <si>
    <t>Keighley Health Centre - FM</t>
  </si>
  <si>
    <t>AR4470</t>
  </si>
  <si>
    <t>Kensington Street Health Centre - FM</t>
  </si>
  <si>
    <t>AR4471</t>
  </si>
  <si>
    <t>Legrams Terrace No s 8 &amp; 10 - FM</t>
  </si>
  <si>
    <t>AR4477</t>
  </si>
  <si>
    <t>Little Horton Lane, 392 - FM</t>
  </si>
  <si>
    <t>AR4479</t>
  </si>
  <si>
    <t>Manningham Health Centre - FM</t>
  </si>
  <si>
    <t>AR4481</t>
  </si>
  <si>
    <t>Mornington Street, No 21A - FM</t>
  </si>
  <si>
    <t>AR4483</t>
  </si>
  <si>
    <t>Park Road Medical Centre - FM</t>
  </si>
  <si>
    <t>AR4487</t>
  </si>
  <si>
    <t>Queensbury Health Centre - FM</t>
  </si>
  <si>
    <t>AR4489</t>
  </si>
  <si>
    <t>Royds Healthy Living Centre - FM</t>
  </si>
  <si>
    <t>AR4492</t>
  </si>
  <si>
    <t>Shipley Health Centre - FM</t>
  </si>
  <si>
    <t>AR4494</t>
  </si>
  <si>
    <t>Sunbridge Road, 152 (Bevan House) - FM</t>
  </si>
  <si>
    <t>AR4499</t>
  </si>
  <si>
    <t>Undercliffe - LIFT - FM</t>
  </si>
  <si>
    <t>AR4501</t>
  </si>
  <si>
    <t>Westbourne Green - LIFT - FM</t>
  </si>
  <si>
    <t>AR4502</t>
  </si>
  <si>
    <t>Whetley Hill Medical Centre - FM</t>
  </si>
  <si>
    <t>AR4504</t>
  </si>
  <si>
    <t>Woodroyd Centre - FM</t>
  </si>
  <si>
    <t>AR4505</t>
  </si>
  <si>
    <t>Wrose Health Centre - FM</t>
  </si>
  <si>
    <t>AR4506</t>
  </si>
  <si>
    <t>Batley Hc - PFI - FM</t>
  </si>
  <si>
    <t>AR4507</t>
  </si>
  <si>
    <t>Beckside Court - FM</t>
  </si>
  <si>
    <t>AR4511</t>
  </si>
  <si>
    <t>Broughton House - FM</t>
  </si>
  <si>
    <t>AR4512</t>
  </si>
  <si>
    <t>Cleckheaton Hc - PFI - FM</t>
  </si>
  <si>
    <t>AR4514</t>
  </si>
  <si>
    <t>Dewsbury Hc - PFI - FM</t>
  </si>
  <si>
    <t>AR4515</t>
  </si>
  <si>
    <t>Eddercliffe Hc - PFI - FM</t>
  </si>
  <si>
    <t>AR4516</t>
  </si>
  <si>
    <t>Elmwood - FM</t>
  </si>
  <si>
    <t>AR4517</t>
  </si>
  <si>
    <t>Fartown Hc - FM</t>
  </si>
  <si>
    <t>AR4518</t>
  </si>
  <si>
    <t>Goldcar - FM</t>
  </si>
  <si>
    <t>AR4521</t>
  </si>
  <si>
    <t>Holme Valley Memorial Hospital - FM</t>
  </si>
  <si>
    <t>AR4522</t>
  </si>
  <si>
    <t>Keldergate - FM</t>
  </si>
  <si>
    <t>AR4523</t>
  </si>
  <si>
    <t>Liversedge Hc - FM</t>
  </si>
  <si>
    <t>AR4524</t>
  </si>
  <si>
    <t>Marsden - FM</t>
  </si>
  <si>
    <t>AR4525</t>
  </si>
  <si>
    <t>Mill Hill Hc - FM</t>
  </si>
  <si>
    <t>AR4526</t>
  </si>
  <si>
    <t>New Brewery Lane - FM</t>
  </si>
  <si>
    <t>AR4529</t>
  </si>
  <si>
    <t>Ravensthorpe Hc - PFI - FM</t>
  </si>
  <si>
    <t>AR4532</t>
  </si>
  <si>
    <t>Skelmanthorpe Hc - FM</t>
  </si>
  <si>
    <t>AR4533</t>
  </si>
  <si>
    <t>Slaithwaite - FM</t>
  </si>
  <si>
    <t>AR4535</t>
  </si>
  <si>
    <t>The White House Centre - FM</t>
  </si>
  <si>
    <t>AR4536</t>
  </si>
  <si>
    <t>Thornton Lodge Clinic - FM</t>
  </si>
  <si>
    <t>AR4541</t>
  </si>
  <si>
    <t>Beeston Hill Chc - LIFT - FM</t>
  </si>
  <si>
    <t>AR4542</t>
  </si>
  <si>
    <t>Beeston Village - FM</t>
  </si>
  <si>
    <t>AR4543</t>
  </si>
  <si>
    <t>Broadlea House - FM</t>
  </si>
  <si>
    <t>Brunswick Court, Unit 2-8 - FM</t>
  </si>
  <si>
    <t>AR4546</t>
  </si>
  <si>
    <t>East Leeds Chc - LIFT - FM</t>
  </si>
  <si>
    <t>AR4547</t>
  </si>
  <si>
    <t>Gildersome Clinic - FM</t>
  </si>
  <si>
    <t>AR4549</t>
  </si>
  <si>
    <t>Kippax H C - FM</t>
  </si>
  <si>
    <t>Leafield H C - FM</t>
  </si>
  <si>
    <t>AR4558</t>
  </si>
  <si>
    <t>Shaftesbury House - FM</t>
  </si>
  <si>
    <t>AR4559</t>
  </si>
  <si>
    <t>Swillington Clinic - FM</t>
  </si>
  <si>
    <t>AR4561</t>
  </si>
  <si>
    <t>Wetherby Chc - LIFT - FM</t>
  </si>
  <si>
    <t>AR4563</t>
  </si>
  <si>
    <t>Woodhouse Chc - LIFT - FM</t>
  </si>
  <si>
    <t>AR4564</t>
  </si>
  <si>
    <t>Wortley Beck Chc - LIFT - FM</t>
  </si>
  <si>
    <t>AR4565</t>
  </si>
  <si>
    <t>Yeadon Chc - LIFT - FM</t>
  </si>
  <si>
    <t>AR4567</t>
  </si>
  <si>
    <t>Coronation Hospital - FM</t>
  </si>
  <si>
    <t>AR4568</t>
  </si>
  <si>
    <t>Westwood Park (Community Hospital &amp; Dtc) - FM</t>
  </si>
  <si>
    <t>AR4569</t>
  </si>
  <si>
    <t>Shipley Hospital - FM</t>
  </si>
  <si>
    <t>AR4570</t>
  </si>
  <si>
    <t>2180 Thorpe Park - FM</t>
  </si>
  <si>
    <t>AR4572</t>
  </si>
  <si>
    <t>Cemetery Road - FM</t>
  </si>
  <si>
    <t>AR5010</t>
  </si>
  <si>
    <t>Bramcote Hospital - FM</t>
  </si>
  <si>
    <t>AR5013</t>
  </si>
  <si>
    <t>Camphill Family Centre - FM</t>
  </si>
  <si>
    <t>AR5170</t>
  </si>
  <si>
    <t>Longbow Close 3(Unit 3A) - FM</t>
  </si>
  <si>
    <t>AR5171</t>
  </si>
  <si>
    <t>Ludlow Hospital (Existing) - FM</t>
  </si>
  <si>
    <t>AR5176</t>
  </si>
  <si>
    <t>Oswestry Primary Care Centre - FM</t>
  </si>
  <si>
    <t>AR5179</t>
  </si>
  <si>
    <t>Shifnal Community Base - FM</t>
  </si>
  <si>
    <t>William Farr House - FM</t>
  </si>
  <si>
    <t>AR5202</t>
  </si>
  <si>
    <t>Crown Business Park - FM</t>
  </si>
  <si>
    <t>AR5203</t>
  </si>
  <si>
    <t>Euston House - FM</t>
  </si>
  <si>
    <t>AR5204</t>
  </si>
  <si>
    <t>Gains Park Professional Centre - FM</t>
  </si>
  <si>
    <t>Halesfield 6 - FM</t>
  </si>
  <si>
    <t>AR5214</t>
  </si>
  <si>
    <t>Mercian House - FM</t>
  </si>
  <si>
    <t>AR5215</t>
  </si>
  <si>
    <t>Montford House - FM</t>
  </si>
  <si>
    <t>AR5233</t>
  </si>
  <si>
    <t>Blakelands House - FM</t>
  </si>
  <si>
    <t>AR5237</t>
  </si>
  <si>
    <t>Erdington Health &amp; Well Being Cntr - FM</t>
  </si>
  <si>
    <t>AR5238</t>
  </si>
  <si>
    <t>Erdington Medical Centre - FM</t>
  </si>
  <si>
    <t>AR5240</t>
  </si>
  <si>
    <t>Four Oaks Medical Centre - FM</t>
  </si>
  <si>
    <t>AR5242</t>
  </si>
  <si>
    <t>Horrell Road Clinic - FM</t>
  </si>
  <si>
    <t>AR5243</t>
  </si>
  <si>
    <t>James Preston Health Centre - FM</t>
  </si>
  <si>
    <t>AR5244</t>
  </si>
  <si>
    <t>John Taylor Hospice - FM</t>
  </si>
  <si>
    <t>AR5245</t>
  </si>
  <si>
    <t>Kingsnorth House - FM</t>
  </si>
  <si>
    <t>AR5249</t>
  </si>
  <si>
    <t>Oscott Clinic - 2/4/6/8 - FM</t>
  </si>
  <si>
    <t>AR5250</t>
  </si>
  <si>
    <t>Proctor Street Car Park 1 - FM</t>
  </si>
  <si>
    <t>AR5253</t>
  </si>
  <si>
    <t>Saltley Health &amp; Well Being Centre - FM</t>
  </si>
  <si>
    <t>AR5260</t>
  </si>
  <si>
    <t>Gee Business Centre (Pct/Training) - FM</t>
  </si>
  <si>
    <t>AR5262</t>
  </si>
  <si>
    <t>Greet Community Health Clinic - FM</t>
  </si>
  <si>
    <t>AR5263</t>
  </si>
  <si>
    <t>Heathfield Family Centre - FM</t>
  </si>
  <si>
    <t>AR5264</t>
  </si>
  <si>
    <t>Imperial Court - FM</t>
  </si>
  <si>
    <t>AR5265</t>
  </si>
  <si>
    <t>Ladywood Health &amp; Community Centre - FM</t>
  </si>
  <si>
    <t>AR5266</t>
  </si>
  <si>
    <t>Newtown Health Centre - FM</t>
  </si>
  <si>
    <t>AR5267</t>
  </si>
  <si>
    <t>Soho Health Centre - FM</t>
  </si>
  <si>
    <t>AR5269</t>
  </si>
  <si>
    <t>St Patrick s Centre For Comm Health - FM</t>
  </si>
  <si>
    <t>AR5272</t>
  </si>
  <si>
    <t>Tier 4 Centre For Excellence - FM</t>
  </si>
  <si>
    <t>AR5273</t>
  </si>
  <si>
    <t>Wand Medical Practice - FM</t>
  </si>
  <si>
    <t>AR5275</t>
  </si>
  <si>
    <t>6 High Street (Birmingham Road) - LIFT - FM</t>
  </si>
  <si>
    <t>AR5276</t>
  </si>
  <si>
    <t>Bradbury Day Care Centre - FM</t>
  </si>
  <si>
    <t>AR5277</t>
  </si>
  <si>
    <t>Central Clinic M32 70K - FM</t>
  </si>
  <si>
    <t>AR5278</t>
  </si>
  <si>
    <t>Darzi Great Bridge - FM</t>
  </si>
  <si>
    <t>AR5279</t>
  </si>
  <si>
    <t>Darzi Langley Rood End - FM</t>
  </si>
  <si>
    <t>AR5280</t>
  </si>
  <si>
    <t>Darzi Wednesbury - FM</t>
  </si>
  <si>
    <t>AR5281</t>
  </si>
  <si>
    <t>Darzi West Bromwich - FM</t>
  </si>
  <si>
    <t>AR5282</t>
  </si>
  <si>
    <t>Friar Park Clinic - FM</t>
  </si>
  <si>
    <t>AR5283</t>
  </si>
  <si>
    <t>Halcyon Birthing Centre 3PD - FM</t>
  </si>
  <si>
    <t>AR5284</t>
  </si>
  <si>
    <t>Holly Lane Clinic - FM</t>
  </si>
  <si>
    <t>Kingston House - FM</t>
  </si>
  <si>
    <t>AR5286</t>
  </si>
  <si>
    <t>Lyng Cente For Hlth And Social Care - FM</t>
  </si>
  <si>
    <t>AR5287</t>
  </si>
  <si>
    <t>Mesty Croft Clinic - FM</t>
  </si>
  <si>
    <t>AR5288</t>
  </si>
  <si>
    <t>Metro Court - FM</t>
  </si>
  <si>
    <t>AR5289</t>
  </si>
  <si>
    <t>Neptune Health Park - FM</t>
  </si>
  <si>
    <t>AR5291</t>
  </si>
  <si>
    <t>Oldbury Health Centre - LIFT - FM</t>
  </si>
  <si>
    <t>AR5292</t>
  </si>
  <si>
    <t>Spires Wednesbury - FM</t>
  </si>
  <si>
    <t>AR5293</t>
  </si>
  <si>
    <t>Stone Cross Clinic - FM</t>
  </si>
  <si>
    <t>AR5294</t>
  </si>
  <si>
    <t>Tanhouse Medical Centre 3PD - FM</t>
  </si>
  <si>
    <t>AR5295</t>
  </si>
  <si>
    <t>Unit 5 Swan Lane - FM</t>
  </si>
  <si>
    <t>AR5296</t>
  </si>
  <si>
    <t>Victoria Health Centre M32 - FM</t>
  </si>
  <si>
    <t>AR5298</t>
  </si>
  <si>
    <t>Whiteheath Medical Centre - LIFT - FM</t>
  </si>
  <si>
    <t>AR5299</t>
  </si>
  <si>
    <t>Yew Tree Healthy Living Centre - LIFT - FM</t>
  </si>
  <si>
    <t>AR5305</t>
  </si>
  <si>
    <t>Green Road - (Pld) - FM</t>
  </si>
  <si>
    <t>AR5309</t>
  </si>
  <si>
    <t>Hawkesley Health Centre - FM</t>
  </si>
  <si>
    <t>AR5315</t>
  </si>
  <si>
    <t>Poplar Road Clinic - FM</t>
  </si>
  <si>
    <t>AR5316</t>
  </si>
  <si>
    <t>Selly Oak Health Centre - FM</t>
  </si>
  <si>
    <t>Shirley Road Health Centre - FM</t>
  </si>
  <si>
    <t>AR5318</t>
  </si>
  <si>
    <t>Triplex House - FM</t>
  </si>
  <si>
    <t>AR5323</t>
  </si>
  <si>
    <t>Waterlinks Hse -5th Floor (Block A) - FM</t>
  </si>
  <si>
    <t>AR5329</t>
  </si>
  <si>
    <t>Glebefields Health Centre - LIFT - FM</t>
  </si>
  <si>
    <t>AR5332</t>
  </si>
  <si>
    <t>Warren Farm Urgent Care Centre - FM</t>
  </si>
  <si>
    <t>AR5334</t>
  </si>
  <si>
    <t>Waterlinks House Suite 22/23 - FM</t>
  </si>
  <si>
    <t>AR5335</t>
  </si>
  <si>
    <t>Waterlinks House Suite 26-29 - FM</t>
  </si>
  <si>
    <t>Aston Pride Community Health Centre - FM</t>
  </si>
  <si>
    <t>AR5337</t>
  </si>
  <si>
    <t>Balsall Heath Health Centre - FM</t>
  </si>
  <si>
    <t>Bartholomew House - FM</t>
  </si>
  <si>
    <t>AR5340</t>
  </si>
  <si>
    <t>Bloomsbury Health Centre - FM</t>
  </si>
  <si>
    <t>AR5341</t>
  </si>
  <si>
    <t>Boots The Chemist - FM</t>
  </si>
  <si>
    <t>AR5343</t>
  </si>
  <si>
    <t>Carnegie Centre - FM</t>
  </si>
  <si>
    <t>AR5345</t>
  </si>
  <si>
    <t>Colston Health Centre - FM</t>
  </si>
  <si>
    <t>AR5347</t>
  </si>
  <si>
    <t>146 Bromsgrove Street - FM</t>
  </si>
  <si>
    <t>AR5349</t>
  </si>
  <si>
    <t>Unit 16 Mainstream Way - FM</t>
  </si>
  <si>
    <t>AR5350</t>
  </si>
  <si>
    <t>Waterloo Road - FM</t>
  </si>
  <si>
    <t>AR5351</t>
  </si>
  <si>
    <t>Mace Street Clinic - FM</t>
  </si>
  <si>
    <t>AR5354</t>
  </si>
  <si>
    <t>Hatherton Centre - FM</t>
  </si>
  <si>
    <t>AR5355</t>
  </si>
  <si>
    <t>4 Downing Close - FM</t>
  </si>
  <si>
    <t>AR5356</t>
  </si>
  <si>
    <t>5 Downing Close - FM</t>
  </si>
  <si>
    <t>AR5357</t>
  </si>
  <si>
    <t>6 Downing Close - FM</t>
  </si>
  <si>
    <t>AR5385</t>
  </si>
  <si>
    <t>Brierley Hill H&amp;SCC - LIFT - FM</t>
  </si>
  <si>
    <t>AR5386</t>
  </si>
  <si>
    <t>Central Clinic M32 62Q - FM</t>
  </si>
  <si>
    <t>AR5388</t>
  </si>
  <si>
    <t>Coseley Family Centre - FM</t>
  </si>
  <si>
    <t>AR5389</t>
  </si>
  <si>
    <t>Cradley Road Surgery - FM</t>
  </si>
  <si>
    <t>AR5390</t>
  </si>
  <si>
    <t>Cross Street Health Centre - FM</t>
  </si>
  <si>
    <t>AR5391</t>
  </si>
  <si>
    <t>Facilities Management Centre (Fmc) - FM</t>
  </si>
  <si>
    <t>AR5393</t>
  </si>
  <si>
    <t>Feldon Lane Clinic - FM</t>
  </si>
  <si>
    <t>AR5394</t>
  </si>
  <si>
    <t>Gorstyfields - FM</t>
  </si>
  <si>
    <t>AR5395</t>
  </si>
  <si>
    <t>Halesowen Health Centre - FM</t>
  </si>
  <si>
    <t>AR5396</t>
  </si>
  <si>
    <t>High Oak Surgery, Pensnett - FM</t>
  </si>
  <si>
    <t>AR5397</t>
  </si>
  <si>
    <t>Holly Hall Clinic - FM</t>
  </si>
  <si>
    <t>AR5398</t>
  </si>
  <si>
    <t>Hollybush House - FM</t>
  </si>
  <si>
    <t>AR5400</t>
  </si>
  <si>
    <t>Kingswinford Health Centre - FM</t>
  </si>
  <si>
    <t>AR5401</t>
  </si>
  <si>
    <t>Ladies Walk - FM</t>
  </si>
  <si>
    <t>AR5402</t>
  </si>
  <si>
    <t>Lower Gornal Health Centre - FM</t>
  </si>
  <si>
    <t>AR5403</t>
  </si>
  <si>
    <t>Netherton Health Centre - FM</t>
  </si>
  <si>
    <t>AR5404</t>
  </si>
  <si>
    <t>Pedmore Medical Practice - FM</t>
  </si>
  <si>
    <t>AR5405</t>
  </si>
  <si>
    <t>Priory Pharmacy - FM</t>
  </si>
  <si>
    <t>AR5407</t>
  </si>
  <si>
    <t>Ridge Hill Centre - LIFT - FM</t>
  </si>
  <si>
    <t>AR5408</t>
  </si>
  <si>
    <t>Ridge Hill Site - FM</t>
  </si>
  <si>
    <t>AR5409</t>
  </si>
  <si>
    <t>St James Medical Practice - FM</t>
  </si>
  <si>
    <t>AR5410</t>
  </si>
  <si>
    <t>St Johns- Dudley - FM</t>
  </si>
  <si>
    <t>AR5411</t>
  </si>
  <si>
    <t>Stepping Stones - FM</t>
  </si>
  <si>
    <t>AR5412</t>
  </si>
  <si>
    <t>Stourbridge H&amp;SCC - LIFT - FM</t>
  </si>
  <si>
    <t>AR5413</t>
  </si>
  <si>
    <t>Sunflower Centre - FM</t>
  </si>
  <si>
    <t>AR5414</t>
  </si>
  <si>
    <t>The Gate Lodge - FM</t>
  </si>
  <si>
    <t>AR5415</t>
  </si>
  <si>
    <t>The Greens - FM</t>
  </si>
  <si>
    <t>AR5416</t>
  </si>
  <si>
    <t>The Limes Surgery - FM</t>
  </si>
  <si>
    <t>AR5417</t>
  </si>
  <si>
    <t>The Poplars - FM</t>
  </si>
  <si>
    <t>AR5418</t>
  </si>
  <si>
    <t>Willows Respite Care - FM</t>
  </si>
  <si>
    <t>AR5419</t>
  </si>
  <si>
    <t>Wolverton House - FM</t>
  </si>
  <si>
    <t>AR5420</t>
  </si>
  <si>
    <t>Woodview - FM</t>
  </si>
  <si>
    <t>AR5421</t>
  </si>
  <si>
    <t>Wordsley Green Health Centre - FM</t>
  </si>
  <si>
    <t>AR5422</t>
  </si>
  <si>
    <t>Wychbury Medical Practice - FM</t>
  </si>
  <si>
    <t>AR5441</t>
  </si>
  <si>
    <t>1 Coppice Road - FM</t>
  </si>
  <si>
    <t>AR5449</t>
  </si>
  <si>
    <t>3 Downing Close - FM</t>
  </si>
  <si>
    <t>AR5456</t>
  </si>
  <si>
    <t>Balsall Common Clinic - FM</t>
  </si>
  <si>
    <t>AR5459</t>
  </si>
  <si>
    <t>Bishops Wilson School Clinic - FM</t>
  </si>
  <si>
    <t>Century House M32 - FM</t>
  </si>
  <si>
    <t>AR5464</t>
  </si>
  <si>
    <t>Craig Croft Clinic - FM</t>
  </si>
  <si>
    <t>AR5468</t>
  </si>
  <si>
    <t>Freshfields Clinic/Arden Med Centre - FM</t>
  </si>
  <si>
    <t>Friars Gate - FM</t>
  </si>
  <si>
    <t>AR5470</t>
  </si>
  <si>
    <t>Grove Road Clinic M32 - FM</t>
  </si>
  <si>
    <t>AR5473</t>
  </si>
  <si>
    <t>Hurst Lane - FM</t>
  </si>
  <si>
    <t>AR5474</t>
  </si>
  <si>
    <t>Kingshurst Clinic - FM</t>
  </si>
  <si>
    <t>AR5475</t>
  </si>
  <si>
    <t>Lifestyle Shop Chelmsley Wood - FM</t>
  </si>
  <si>
    <t>AR5477</t>
  </si>
  <si>
    <t>Moat Lane Smbc Depot - FM</t>
  </si>
  <si>
    <t>AR5478</t>
  </si>
  <si>
    <t>Monkspath Clinic - FM</t>
  </si>
  <si>
    <t>AR5479</t>
  </si>
  <si>
    <t>No 3 The Green - FM</t>
  </si>
  <si>
    <t>AR5480</t>
  </si>
  <si>
    <t>Northbrook Health Centre - FM</t>
  </si>
  <si>
    <t>AR5481</t>
  </si>
  <si>
    <t>Shirley Clinic - FM</t>
  </si>
  <si>
    <t>AR5484</t>
  </si>
  <si>
    <t>Solihull Walk-In-Cntr Solihull Hosp - FM</t>
  </si>
  <si>
    <t>AR5488</t>
  </si>
  <si>
    <t>Land Lane Clinic - FM</t>
  </si>
  <si>
    <t>AR5507</t>
  </si>
  <si>
    <t>1 &amp; 2 Suttons Drive - FM</t>
  </si>
  <si>
    <t>AR5508</t>
  </si>
  <si>
    <t>5 Wightwick Close - FM</t>
  </si>
  <si>
    <t>AR5510</t>
  </si>
  <si>
    <t>Anchor Meadow Health Centre - FM</t>
  </si>
  <si>
    <t>AR5511</t>
  </si>
  <si>
    <t>Beechdale Health Centre - FM</t>
  </si>
  <si>
    <t>AR5512</t>
  </si>
  <si>
    <t>Bentley Health Centre M32 - FM</t>
  </si>
  <si>
    <t>AR5514</t>
  </si>
  <si>
    <t>Blackwood Hc Blackwood Rd - FM</t>
  </si>
  <si>
    <t>AR5515</t>
  </si>
  <si>
    <t>Blakenhall Village Centre - FM</t>
  </si>
  <si>
    <t>AR5516</t>
  </si>
  <si>
    <t>Brace Street Health Centre - FM</t>
  </si>
  <si>
    <t>AR5517</t>
  </si>
  <si>
    <t>Brownhills (Parkview) Centre - FM</t>
  </si>
  <si>
    <t>AR5518</t>
  </si>
  <si>
    <t>Collingwood Health Centre - FM</t>
  </si>
  <si>
    <t>AR5519</t>
  </si>
  <si>
    <t>Darlaston Health Centre - FM</t>
  </si>
  <si>
    <t>AR5521</t>
  </si>
  <si>
    <t>Eldon Court 42/43 Eldon St - FM</t>
  </si>
  <si>
    <t>Goscote House Goscote La - FM</t>
  </si>
  <si>
    <t>AR5524</t>
  </si>
  <si>
    <t>Harden Health Centre Harden Rd - FM</t>
  </si>
  <si>
    <t>AR5525</t>
  </si>
  <si>
    <t>Ida Road 2 Ida Rd - FM</t>
  </si>
  <si>
    <t>AR5526</t>
  </si>
  <si>
    <t>Ida Road Clinic 78-80 Ida Rd - FM</t>
  </si>
  <si>
    <t>Jubilee House Bloxwich Lane - FM</t>
  </si>
  <si>
    <t>AR5529</t>
  </si>
  <si>
    <t>Pelsall Health Centre - FM</t>
  </si>
  <si>
    <t>AR5530</t>
  </si>
  <si>
    <t>Pinfold Health Centre Field Rd - FM</t>
  </si>
  <si>
    <t>AR5531</t>
  </si>
  <si>
    <t>Pleck Health Centre - FM</t>
  </si>
  <si>
    <t>AR5532</t>
  </si>
  <si>
    <t>Sai Medical Centre - FM</t>
  </si>
  <si>
    <t>AR5533</t>
  </si>
  <si>
    <t>Shortheath Clinic Bloxwich Rd N - FM</t>
  </si>
  <si>
    <t>AR5534</t>
  </si>
  <si>
    <t>Sina Health Centre - FM</t>
  </si>
  <si>
    <t>AR5535</t>
  </si>
  <si>
    <t>Springside 2 Spring Lane - FM</t>
  </si>
  <si>
    <t>AR5536</t>
  </si>
  <si>
    <t>Walk In Centre Unit 19/21 Digbeth - FM</t>
  </si>
  <si>
    <t>AR5537</t>
  </si>
  <si>
    <t>Willenhall Health Centre Field St - FM</t>
  </si>
  <si>
    <t>AR5554</t>
  </si>
  <si>
    <t>Alfred Squire Health Clinic - FM</t>
  </si>
  <si>
    <t>AR5555</t>
  </si>
  <si>
    <t>Ashmore Park Health Centre - FM</t>
  </si>
  <si>
    <t>AR5557</t>
  </si>
  <si>
    <t>Bilston Clinic - FM</t>
  </si>
  <si>
    <t>AR5558</t>
  </si>
  <si>
    <t>Bilston Eapc - FM</t>
  </si>
  <si>
    <t>AR5561</t>
  </si>
  <si>
    <t>Bushbury Clinic - FM</t>
  </si>
  <si>
    <t>AR5565</t>
  </si>
  <si>
    <t>Ettingshall Eapc - FM</t>
  </si>
  <si>
    <t>AR5566</t>
  </si>
  <si>
    <t>Ettingshall Lodge - FM</t>
  </si>
  <si>
    <t>AR5568</t>
  </si>
  <si>
    <t>Heath Town Clinic - FM</t>
  </si>
  <si>
    <t>AR5569</t>
  </si>
  <si>
    <t>Horizon House - FM</t>
  </si>
  <si>
    <t>AR5572</t>
  </si>
  <si>
    <t>Lower Green - FM</t>
  </si>
  <si>
    <t>AR5573</t>
  </si>
  <si>
    <t>Mayfields Health Centre - FM</t>
  </si>
  <si>
    <t>AR5575</t>
  </si>
  <si>
    <t>Oxley Clinic - FM</t>
  </si>
  <si>
    <t>AR5577</t>
  </si>
  <si>
    <t>Pear Tree Lane Residential Unit - FM</t>
  </si>
  <si>
    <t>AR5579</t>
  </si>
  <si>
    <t>Pennfields Health Centre - FM</t>
  </si>
  <si>
    <t>AR5582</t>
  </si>
  <si>
    <t>Showel Park Eapc - FM</t>
  </si>
  <si>
    <t>AR5584</t>
  </si>
  <si>
    <t>Tettenhall Wood Health Centre - FM</t>
  </si>
  <si>
    <t>AR5585</t>
  </si>
  <si>
    <t>Warehouse - Unit 1E - FM</t>
  </si>
  <si>
    <t>AR5587</t>
  </si>
  <si>
    <t>Whitmore Reans Health Centre - FM</t>
  </si>
  <si>
    <t>AR5588</t>
  </si>
  <si>
    <t>Woodcross Clinic - FM</t>
  </si>
  <si>
    <t>AR5589</t>
  </si>
  <si>
    <t>Land Port Road Foot Health - FM</t>
  </si>
  <si>
    <t>AR5590</t>
  </si>
  <si>
    <t>Pendeford Health Centre - FM</t>
  </si>
  <si>
    <t>Cardinal Square - FM</t>
  </si>
  <si>
    <t>AR5611</t>
  </si>
  <si>
    <t>Kingsmead - FM</t>
  </si>
  <si>
    <t>AR5612</t>
  </si>
  <si>
    <t>Peartree - FM</t>
  </si>
  <si>
    <t>AR5613</t>
  </si>
  <si>
    <t>Revive Clinic - FM</t>
  </si>
  <si>
    <t>AR5614</t>
  </si>
  <si>
    <t>Sinfin - FM</t>
  </si>
  <si>
    <t>AR5618</t>
  </si>
  <si>
    <t>Derby Walk In Centre - FM</t>
  </si>
  <si>
    <t>1A Crescent View - FM</t>
  </si>
  <si>
    <t>AR5631</t>
  </si>
  <si>
    <t>Ilkeston Health Centre - FM</t>
  </si>
  <si>
    <t>Scarsdale - FM</t>
  </si>
  <si>
    <t>AR5643</t>
  </si>
  <si>
    <t>The Shrubberies - FM</t>
  </si>
  <si>
    <t>Toll Bar House - FM</t>
  </si>
  <si>
    <t>AR5645</t>
  </si>
  <si>
    <t>Whitwell Health Centre - FM</t>
  </si>
  <si>
    <t>AR5646</t>
  </si>
  <si>
    <t>Arnold Health Centre - FM</t>
  </si>
  <si>
    <t>AR5647</t>
  </si>
  <si>
    <t>Ashfield Community Hospital - FM</t>
  </si>
  <si>
    <t>AR5648</t>
  </si>
  <si>
    <t>Ashfield Health Village - LIFT - FM</t>
  </si>
  <si>
    <t>AR5649</t>
  </si>
  <si>
    <t>Balderton Primary Care Centre - LIFT - FM</t>
  </si>
  <si>
    <t>AR5650</t>
  </si>
  <si>
    <t>Beeston Clinic - FM</t>
  </si>
  <si>
    <t>Birch House - FM</t>
  </si>
  <si>
    <t>AR5653</t>
  </si>
  <si>
    <t>Bull Farm Primary Care Centre - LIFT - FM</t>
  </si>
  <si>
    <t>AR5654</t>
  </si>
  <si>
    <t>Byron Court - FM</t>
  </si>
  <si>
    <t>AR5655</t>
  </si>
  <si>
    <t>Calverton Clinic - FM</t>
  </si>
  <si>
    <t>AR5656</t>
  </si>
  <si>
    <t>Kings Mill Hospital - FM</t>
  </si>
  <si>
    <t>AR5658</t>
  </si>
  <si>
    <t>Church House Surgery, Ruddington - FM</t>
  </si>
  <si>
    <t>AR5660</t>
  </si>
  <si>
    <t>Cotgrave Health Centre - FM</t>
  </si>
  <si>
    <t>AR5661</t>
  </si>
  <si>
    <t>Daybrook Health Centre - FM</t>
  </si>
  <si>
    <t>AR5662</t>
  </si>
  <si>
    <t>East Leake Health Centre - FM</t>
  </si>
  <si>
    <t>Easthorpe House - FM</t>
  </si>
  <si>
    <t>AR5664</t>
  </si>
  <si>
    <t>Eastwood Clinic - FM</t>
  </si>
  <si>
    <t>AR5665</t>
  </si>
  <si>
    <t>Edwinstowe Health Centre - FM</t>
  </si>
  <si>
    <t>Hawthorn House, Mansfield - FM</t>
  </si>
  <si>
    <t>AR5667</t>
  </si>
  <si>
    <t>Hucknall Health Centre - FM</t>
  </si>
  <si>
    <t>AR5668</t>
  </si>
  <si>
    <t>Hucknall Orthopaedic Centre - FM</t>
  </si>
  <si>
    <t>AR5671</t>
  </si>
  <si>
    <t>Keyworth Primary Care Centre - LIFT - FM</t>
  </si>
  <si>
    <t>AR5672</t>
  </si>
  <si>
    <t>Kimberley Health Centre - FM</t>
  </si>
  <si>
    <t>AR5673</t>
  </si>
  <si>
    <t>Lings Bar Hospital - FM</t>
  </si>
  <si>
    <t>AR5674</t>
  </si>
  <si>
    <t>Mansfield Woodhouse Health Centre - FM</t>
  </si>
  <si>
    <t>AR5675</t>
  </si>
  <si>
    <t>Oak Tree Lane Health Centre - FM</t>
  </si>
  <si>
    <t>AR5676</t>
  </si>
  <si>
    <t>Oates Hill Health Centre - FM</t>
  </si>
  <si>
    <t>AR5677</t>
  </si>
  <si>
    <t>Ollerton Health Centre - FM</t>
  </si>
  <si>
    <t>AR5678</t>
  </si>
  <si>
    <t>Park House Hlth &amp; Social Care Cntr - LIFT - FM</t>
  </si>
  <si>
    <t>AR5679</t>
  </si>
  <si>
    <t>Newark Health Clinic - FM</t>
  </si>
  <si>
    <t>AR5680</t>
  </si>
  <si>
    <t>Rainworth Primary Care Centre - LIFT - FM</t>
  </si>
  <si>
    <t>AR5681</t>
  </si>
  <si>
    <t>Selston Community Unit - FM</t>
  </si>
  <si>
    <t>AR5684</t>
  </si>
  <si>
    <t>Stapleford Care Centre - LIFT - FM</t>
  </si>
  <si>
    <t>AR5687</t>
  </si>
  <si>
    <t>Warsop Primary Care Centre - LIFT - FM</t>
  </si>
  <si>
    <t>AR5688</t>
  </si>
  <si>
    <t>West Bridgford Health Centre - FM</t>
  </si>
  <si>
    <t>AR5690</t>
  </si>
  <si>
    <t>Mansfield Community Hospital - PFI - FM</t>
  </si>
  <si>
    <t>AR5694</t>
  </si>
  <si>
    <t>Clipstone Health Centre - FM</t>
  </si>
  <si>
    <t>AR5695</t>
  </si>
  <si>
    <t>Bestwood Park Health Centre - FM</t>
  </si>
  <si>
    <t>AR5696</t>
  </si>
  <si>
    <t>Arnot Hill Heaquarters - FM</t>
  </si>
  <si>
    <t>AR5720</t>
  </si>
  <si>
    <t>Healthpoint, Top Valley - FM</t>
  </si>
  <si>
    <t>AR5725</t>
  </si>
  <si>
    <t>Old Basford Health Centre - FM</t>
  </si>
  <si>
    <t>AR5726</t>
  </si>
  <si>
    <t>Radford Health Centre - FM</t>
  </si>
  <si>
    <t>AR5727</t>
  </si>
  <si>
    <t>Seaton House Walk-In Centre - FM</t>
  </si>
  <si>
    <t>AR5728</t>
  </si>
  <si>
    <t>Sherwood Health Centre - FM</t>
  </si>
  <si>
    <t>AR5729</t>
  </si>
  <si>
    <t>Sherwood Rise Health Centre - FM</t>
  </si>
  <si>
    <t>AR5730</t>
  </si>
  <si>
    <t>Sneinton Health Centre - FM</t>
  </si>
  <si>
    <t>AR5732</t>
  </si>
  <si>
    <t>St Ann s Valley Centre - FM</t>
  </si>
  <si>
    <t>Standard Court - FM</t>
  </si>
  <si>
    <t>AR5734</t>
  </si>
  <si>
    <t>Strelley Health Centre - FM</t>
  </si>
  <si>
    <t>AR5738</t>
  </si>
  <si>
    <t>The Meadows Health Centre - FM</t>
  </si>
  <si>
    <t>AR5739</t>
  </si>
  <si>
    <t>Victoria Health Centre, Nottingham - FM</t>
  </si>
  <si>
    <t>Wollaton Vale Health Centre - FM</t>
  </si>
  <si>
    <t>AR5758</t>
  </si>
  <si>
    <t>Benjamin Court, Cromer - FM</t>
  </si>
  <si>
    <t>AR5759</t>
  </si>
  <si>
    <t>Bowthorpe Health Centre - FM</t>
  </si>
  <si>
    <t>Lakeside, Norwich - FM</t>
  </si>
  <si>
    <t>AR5770</t>
  </si>
  <si>
    <t>North Walsham Health Centre - FM</t>
  </si>
  <si>
    <t>AR5772</t>
  </si>
  <si>
    <t>Sheringham Health Centre - FM</t>
  </si>
  <si>
    <t>AR5779</t>
  </si>
  <si>
    <t>Thetford Healthy Living Centre - FM</t>
  </si>
  <si>
    <t>AR5782</t>
  </si>
  <si>
    <t>Wells Health Centre - FM</t>
  </si>
  <si>
    <t>AR5784</t>
  </si>
  <si>
    <t>3A Constable Road, Felixstowe - FM</t>
  </si>
  <si>
    <t>AR5785</t>
  </si>
  <si>
    <t>70-74 St Helens Street, Ipswich - FM</t>
  </si>
  <si>
    <t>AR5786</t>
  </si>
  <si>
    <t>Aldeburgh Community Hospital - FM</t>
  </si>
  <si>
    <t>AR5787</t>
  </si>
  <si>
    <t>Allington House 427 Woodbridge Road - FM</t>
  </si>
  <si>
    <t>AR5789</t>
  </si>
  <si>
    <t>Bluebird Lodge Community Hospital - FM</t>
  </si>
  <si>
    <t>AR5790</t>
  </si>
  <si>
    <t>Brandon Health Centre - FM</t>
  </si>
  <si>
    <t>AR5794</t>
  </si>
  <si>
    <t>Chantry Clinic, Hawthorn Drive - FM</t>
  </si>
  <si>
    <t>AR5799</t>
  </si>
  <si>
    <t>Darbishire House - FM</t>
  </si>
  <si>
    <t>AR5801</t>
  </si>
  <si>
    <t>Felixstowe Community Hospital - FM</t>
  </si>
  <si>
    <t>AR5802</t>
  </si>
  <si>
    <t>Gainsborough Clinic - FM</t>
  </si>
  <si>
    <t>AR5804</t>
  </si>
  <si>
    <t>Hartismere Hospital, 26 Castleton Way - FM</t>
  </si>
  <si>
    <t>AR5805</t>
  </si>
  <si>
    <t>Haverhill Health Centre, Camps Road - FM</t>
  </si>
  <si>
    <t>AR5807</t>
  </si>
  <si>
    <t>Mildenhall HC, Chestnut Close - FM</t>
  </si>
  <si>
    <t>AR5808</t>
  </si>
  <si>
    <t>Newmarket Community Hospital, Exning Rd - FM</t>
  </si>
  <si>
    <t>AR5810</t>
  </si>
  <si>
    <t>Podiatric Unit, 1 Walker Close - FM</t>
  </si>
  <si>
    <t>Rushbrook House HQ - FM</t>
  </si>
  <si>
    <t>AR5817</t>
  </si>
  <si>
    <t>St Helen s House, 571 Foxhall Road - FM</t>
  </si>
  <si>
    <t>AR5818</t>
  </si>
  <si>
    <t>Stanton Health Centre, 12 The Chase - FM</t>
  </si>
  <si>
    <t>AR5820</t>
  </si>
  <si>
    <t>Stow Lodge Centre, Chiltern Way - FM</t>
  </si>
  <si>
    <t>AR5821</t>
  </si>
  <si>
    <t>Sudbury Health Centre, Acton Lane - FM</t>
  </si>
  <si>
    <t>AR5824</t>
  </si>
  <si>
    <t>Whitton Clinic, Meredith Rd - FM</t>
  </si>
  <si>
    <t>AR5825</t>
  </si>
  <si>
    <t>Woodbridge Clinic Admin, 2 Pytches Road - FM</t>
  </si>
  <si>
    <t>AR5871</t>
  </si>
  <si>
    <t>Burghley Road - FM</t>
  </si>
  <si>
    <t>City Care Centre, P'boro - PFI - FM</t>
  </si>
  <si>
    <t>AR5873</t>
  </si>
  <si>
    <t>City Health Clinic, Wellington St, P'boro - FM</t>
  </si>
  <si>
    <t>AR5874</t>
  </si>
  <si>
    <t>Dogsthorpe Med Centre - FM</t>
  </si>
  <si>
    <t>AR5876</t>
  </si>
  <si>
    <t>Newborough Primary Care Centre - FM</t>
  </si>
  <si>
    <t>AR5880</t>
  </si>
  <si>
    <t>Werrington Hc - FM</t>
  </si>
  <si>
    <t>Beccles Hq &amp; Warehouse - FM</t>
  </si>
  <si>
    <t>AR5906</t>
  </si>
  <si>
    <t>Economy Road And Kirkley Rise, Lowestoft - FM</t>
  </si>
  <si>
    <t>AR5907</t>
  </si>
  <si>
    <t>Sole Bay Health Centre, Reydon - FM</t>
  </si>
  <si>
    <t>AR5927</t>
  </si>
  <si>
    <t>Healthy Living Centre, Princes St, P'boro - FM</t>
  </si>
  <si>
    <t>AR5930</t>
  </si>
  <si>
    <t>Sudbury Community Health Centre - FM</t>
  </si>
  <si>
    <t>AR5945</t>
  </si>
  <si>
    <t>Autumn Cottage - FM</t>
  </si>
  <si>
    <t>AR5946</t>
  </si>
  <si>
    <t>Benfleet Clinic - FM</t>
  </si>
  <si>
    <t>AR5947</t>
  </si>
  <si>
    <t>Canvey Health Centre - FM</t>
  </si>
  <si>
    <t>AR5948</t>
  </si>
  <si>
    <t>Central Canvey Primary Care Centre - FM</t>
  </si>
  <si>
    <t>AR5952</t>
  </si>
  <si>
    <t>Hadleigh Clinic - FM</t>
  </si>
  <si>
    <t>AR5955</t>
  </si>
  <si>
    <t>Hockley Clinic - FM</t>
  </si>
  <si>
    <t>AR5959</t>
  </si>
  <si>
    <t>Leigh Primary Care Centre - FM</t>
  </si>
  <si>
    <t>AR5967</t>
  </si>
  <si>
    <t>Raphael House - FM</t>
  </si>
  <si>
    <t>AR5968</t>
  </si>
  <si>
    <t>Rayleigh Clinic - FM</t>
  </si>
  <si>
    <t>AR5969</t>
  </si>
  <si>
    <t>Shoebury Health Centre - FM</t>
  </si>
  <si>
    <t>AR5972</t>
  </si>
  <si>
    <t>Suffolk House - FM</t>
  </si>
  <si>
    <t>AR5974</t>
  </si>
  <si>
    <t>Thorpedene Clinic - FM</t>
  </si>
  <si>
    <t>AR5975</t>
  </si>
  <si>
    <t>Thundersley Clinic - FM</t>
  </si>
  <si>
    <t>AR5976</t>
  </si>
  <si>
    <t>Unit 8, Coopers Way - FM</t>
  </si>
  <si>
    <t>AR5977</t>
  </si>
  <si>
    <t>Victoria Surgery, Unit 6A - FM</t>
  </si>
  <si>
    <t>AR5978</t>
  </si>
  <si>
    <t>Warrior House Health Centre - FM</t>
  </si>
  <si>
    <t>AR5980</t>
  </si>
  <si>
    <t>Acorns Surgery - FM</t>
  </si>
  <si>
    <t>AR5981</t>
  </si>
  <si>
    <t>Billericay Health Centre - FM</t>
  </si>
  <si>
    <t>AR5983</t>
  </si>
  <si>
    <t>Brambles Bungalow - FM</t>
  </si>
  <si>
    <t>AR5986</t>
  </si>
  <si>
    <t>Corringham Health Centre - FM</t>
  </si>
  <si>
    <t>AR5987</t>
  </si>
  <si>
    <t>Dilip Sabnis Medical centre - FM</t>
  </si>
  <si>
    <t>AR5994</t>
  </si>
  <si>
    <t>Laindon Health Centre - FM</t>
  </si>
  <si>
    <t>AR5995</t>
  </si>
  <si>
    <t>Oakwood Place - FM</t>
  </si>
  <si>
    <t>Phoenix Court Main Block - FM</t>
  </si>
  <si>
    <t>AR6004</t>
  </si>
  <si>
    <t>Purfleet Care Centre - FM</t>
  </si>
  <si>
    <t>AR6006</t>
  </si>
  <si>
    <t>Shotgate - FM</t>
  </si>
  <si>
    <t>AR6007</t>
  </si>
  <si>
    <t>South Ockendon Health Centre - FM</t>
  </si>
  <si>
    <t>AR6009</t>
  </si>
  <si>
    <t>St Clements Health Centre - FM</t>
  </si>
  <si>
    <t>AR6010</t>
  </si>
  <si>
    <t>Stifford Clays Health Centre - FM</t>
  </si>
  <si>
    <t>AR6011</t>
  </si>
  <si>
    <t>The Gore - FM</t>
  </si>
  <si>
    <t>AR6012</t>
  </si>
  <si>
    <t>Thurrock Health Centre - FM</t>
  </si>
  <si>
    <t>AR6013</t>
  </si>
  <si>
    <t>Vange Health Centre - FM</t>
  </si>
  <si>
    <t>AR6014</t>
  </si>
  <si>
    <t>Wickford Health Centre - FM</t>
  </si>
  <si>
    <t>AR6015</t>
  </si>
  <si>
    <t>North Rd Primary Care Centre - FM</t>
  </si>
  <si>
    <t>AR6016</t>
  </si>
  <si>
    <t>Valkyrie Road Primary Care Centre - FM</t>
  </si>
  <si>
    <t>AR6020</t>
  </si>
  <si>
    <t>Wren House - FM</t>
  </si>
  <si>
    <t>AR6043</t>
  </si>
  <si>
    <t>Burnham Clinic - FM</t>
  </si>
  <si>
    <t>Collingwood Road - FM</t>
  </si>
  <si>
    <t>AR6046</t>
  </si>
  <si>
    <t>Crompton Clinic - FM</t>
  </si>
  <si>
    <t>AR6049</t>
  </si>
  <si>
    <t>Gemini Centre - FM</t>
  </si>
  <si>
    <t>AR6050</t>
  </si>
  <si>
    <t>Halstead Hospial - FM</t>
  </si>
  <si>
    <t>AR6051</t>
  </si>
  <si>
    <t>Kestrel House - FM</t>
  </si>
  <si>
    <t>AR6054</t>
  </si>
  <si>
    <t>Moulsham Grange - FM</t>
  </si>
  <si>
    <t>AR6055</t>
  </si>
  <si>
    <t>Moulsham Lodge - FM</t>
  </si>
  <si>
    <t>AR6057</t>
  </si>
  <si>
    <t>Parkside Medical Centre - FM</t>
  </si>
  <si>
    <t>AR6058</t>
  </si>
  <si>
    <t>South Woodham Ferresr Clinic - FM</t>
  </si>
  <si>
    <t>AR6060</t>
  </si>
  <si>
    <t>Springfield Green Clinic - FM</t>
  </si>
  <si>
    <t>AR6062</t>
  </si>
  <si>
    <t>St Peters Hospital - FM</t>
  </si>
  <si>
    <t>Swift House - FM</t>
  </si>
  <si>
    <t>AR6065</t>
  </si>
  <si>
    <t>Tekhnicon House Suites 1 And 3 - FM</t>
  </si>
  <si>
    <t>AR6067</t>
  </si>
  <si>
    <t>Witham Health Centre - FM</t>
  </si>
  <si>
    <t>AR6085</t>
  </si>
  <si>
    <t>659 - 662 The Crescent - FM</t>
  </si>
  <si>
    <t>AR6086</t>
  </si>
  <si>
    <t>Alresford Surgery - FM</t>
  </si>
  <si>
    <t>AR6087</t>
  </si>
  <si>
    <t>Bluebell Surgery - FM</t>
  </si>
  <si>
    <t>AR6088</t>
  </si>
  <si>
    <t>Carnarvon House - FM</t>
  </si>
  <si>
    <t>AR6090</t>
  </si>
  <si>
    <t>Clacton Hospital - FM</t>
  </si>
  <si>
    <t>AR6091</t>
  </si>
  <si>
    <t>Colchester Primary Care Centre - FM</t>
  </si>
  <si>
    <t>AR6092</t>
  </si>
  <si>
    <t>Connaught Mews - FM</t>
  </si>
  <si>
    <t>AR6094</t>
  </si>
  <si>
    <t>Cornerstone - FM</t>
  </si>
  <si>
    <t>AR6096</t>
  </si>
  <si>
    <t>Epping Close Surgery - FM</t>
  </si>
  <si>
    <t>AR6097</t>
  </si>
  <si>
    <t>Frinton Road Medical Centre - FM</t>
  </si>
  <si>
    <t>AR6098</t>
  </si>
  <si>
    <t>Fryatt Memorial Hosp &amp; Mayflower MC - FM</t>
  </si>
  <si>
    <t>AR6099</t>
  </si>
  <si>
    <t>Green Elms Branch Surgery (Nayland Road) - FM</t>
  </si>
  <si>
    <t>AR6100</t>
  </si>
  <si>
    <t>Green Elms Health Centre (Jaywick) - FM</t>
  </si>
  <si>
    <t>AR6101</t>
  </si>
  <si>
    <t>ILC- Catalyst House - FM</t>
  </si>
  <si>
    <t>AR6102</t>
  </si>
  <si>
    <t>Kennedy House - FM</t>
  </si>
  <si>
    <t>AR6103</t>
  </si>
  <si>
    <t>Mersea Clinic - FM</t>
  </si>
  <si>
    <t>AR6104</t>
  </si>
  <si>
    <t>Mill Road Therapy Centre - FM</t>
  </si>
  <si>
    <t>AR6105</t>
  </si>
  <si>
    <t>Mistley Clinic - FM</t>
  </si>
  <si>
    <t>AR6106</t>
  </si>
  <si>
    <t>Monkwick Clinic - FM</t>
  </si>
  <si>
    <t>AR6108</t>
  </si>
  <si>
    <t>Shrub End Clinic - FM</t>
  </si>
  <si>
    <t>AR6109</t>
  </si>
  <si>
    <t>Sprinks Lane Therapy Centre - FM</t>
  </si>
  <si>
    <t>AR6110</t>
  </si>
  <si>
    <t>St Edmunds Centre (Greenstead) - FM</t>
  </si>
  <si>
    <t>AR6111</t>
  </si>
  <si>
    <t>Tekhnicon Centre - DISPOSAL - FM</t>
  </si>
  <si>
    <t>AR6130</t>
  </si>
  <si>
    <t>Addison House Community Clinic - FM</t>
  </si>
  <si>
    <t>AR6135</t>
  </si>
  <si>
    <t>Church Langley Community Clinic - FM</t>
  </si>
  <si>
    <t>AR6136</t>
  </si>
  <si>
    <t>Dunmow Clinic - FM</t>
  </si>
  <si>
    <t>AR6140</t>
  </si>
  <si>
    <t>ILC-Bishops Stortford - FM</t>
  </si>
  <si>
    <t>AR6145</t>
  </si>
  <si>
    <t>Lister House Community Clinic - FM</t>
  </si>
  <si>
    <t>AR6146</t>
  </si>
  <si>
    <t>Nazeing Valley HC (&amp; Lime Tree Unit) (FL) - FM</t>
  </si>
  <si>
    <t>AR6147</t>
  </si>
  <si>
    <t>Nuffield House Community Clinic - FM</t>
  </si>
  <si>
    <t>AR6149</t>
  </si>
  <si>
    <t>Ongar War Memorial Medical Centre - FM</t>
  </si>
  <si>
    <t>AR6158</t>
  </si>
  <si>
    <t>Waltham Abbey Health Centre - FM</t>
  </si>
  <si>
    <t>AR6163</t>
  </si>
  <si>
    <t>Saffron Walden Community Hospital - FM</t>
  </si>
  <si>
    <t>St Margaret's Community Hospital - FM</t>
  </si>
  <si>
    <t>AR6178</t>
  </si>
  <si>
    <t>Ambulance Hq - FM</t>
  </si>
  <si>
    <t>AR6181</t>
  </si>
  <si>
    <t>Bushey Health Centre, Bushey - FM</t>
  </si>
  <si>
    <t>Charter House - FM</t>
  </si>
  <si>
    <t>AR6183</t>
  </si>
  <si>
    <t>Crossbrook Street, Cheshunt (FL) - FM</t>
  </si>
  <si>
    <t>AR6184</t>
  </si>
  <si>
    <t>Cuffley Health Centre, Cuffley - FM</t>
  </si>
  <si>
    <t>AR6185</t>
  </si>
  <si>
    <t>Garston Clinic - FM</t>
  </si>
  <si>
    <t>AR6186</t>
  </si>
  <si>
    <t>George St, Units 1,3 And 4 (FL) - FM</t>
  </si>
  <si>
    <t>AR6187</t>
  </si>
  <si>
    <t>Grove Road Clinic M36 - FM</t>
  </si>
  <si>
    <t>AR6188</t>
  </si>
  <si>
    <t>Hemel Hempstead Gen Hosp-Clinic&amp;Ucc - FM</t>
  </si>
  <si>
    <t>AR6189</t>
  </si>
  <si>
    <t>Herts &amp; Essex Hospital - PFI - FM</t>
  </si>
  <si>
    <t>AR6190</t>
  </si>
  <si>
    <t>Hitchin Hospital Hitchin - FM</t>
  </si>
  <si>
    <t>AR6191</t>
  </si>
  <si>
    <t>Howard Court (Inc Park Car) - FM</t>
  </si>
  <si>
    <t>AR6192</t>
  </si>
  <si>
    <t>Isbister Centre, Hemel - FM</t>
  </si>
  <si>
    <t>AR6193</t>
  </si>
  <si>
    <t>Kingsley Green (Harperbury) - FM</t>
  </si>
  <si>
    <t>AR6195</t>
  </si>
  <si>
    <t>Mandeville Clinic - FM</t>
  </si>
  <si>
    <t>AR6196</t>
  </si>
  <si>
    <t>Meadowell, Cassio Rd , Watford - FM</t>
  </si>
  <si>
    <t>AR6197</t>
  </si>
  <si>
    <t>Niall House, Stevenage - FM</t>
  </si>
  <si>
    <t>AR6199</t>
  </si>
  <si>
    <t>Royston Health Centre, Royston - FM</t>
  </si>
  <si>
    <t>AR6200</t>
  </si>
  <si>
    <t>Royston Hospital, Royston - FM</t>
  </si>
  <si>
    <t>AR6201</t>
  </si>
  <si>
    <t>South Oxhey Health Centre - FM</t>
  </si>
  <si>
    <t>AR6203</t>
  </si>
  <si>
    <t>St Albans Children Centre - FM</t>
  </si>
  <si>
    <t>AR6205</t>
  </si>
  <si>
    <t>Stanmore Road Health Centre - FM</t>
  </si>
  <si>
    <t>AR6207</t>
  </si>
  <si>
    <t>Tring Clinic, Tring - FM</t>
  </si>
  <si>
    <t>AR6212</t>
  </si>
  <si>
    <t>Wheelchair Serv-Kingsley Green - FM</t>
  </si>
  <si>
    <t>AR6256</t>
  </si>
  <si>
    <t>Southgate Health centre - FM</t>
  </si>
  <si>
    <t>AR6257</t>
  </si>
  <si>
    <t>Unit 1 George Street - FM</t>
  </si>
  <si>
    <t>AR6258</t>
  </si>
  <si>
    <t>Unit 3 George Street - FM</t>
  </si>
  <si>
    <t>AR6259</t>
  </si>
  <si>
    <t>Unit 4 George Street - FM</t>
  </si>
  <si>
    <t>AR6260</t>
  </si>
  <si>
    <t>Skidmore Way - FM</t>
  </si>
  <si>
    <t>AR6262</t>
  </si>
  <si>
    <t>Gregans House - FM</t>
  </si>
  <si>
    <t>AR6272</t>
  </si>
  <si>
    <t>Camp Hill Clinic - FM</t>
  </si>
  <si>
    <t>AR6283</t>
  </si>
  <si>
    <t>Child Development Centre M36 - FM</t>
  </si>
  <si>
    <t>Matthew House - FM</t>
  </si>
  <si>
    <t>AR6331</t>
  </si>
  <si>
    <t>Clody House-2nd Flr-90-100 Collingdon St - FM</t>
  </si>
  <si>
    <t>Gooseberry Hill HC, Gooseberry Hill - FM</t>
  </si>
  <si>
    <t>AR6335</t>
  </si>
  <si>
    <t>Leagrave Clinic, High St, Leagrave - FM</t>
  </si>
  <si>
    <t>AR6337</t>
  </si>
  <si>
    <t>Liverpool Rd Health Centre - FM</t>
  </si>
  <si>
    <t>AR6338</t>
  </si>
  <si>
    <t>Luton Underground, 53-55 Cardiff Rd - FM</t>
  </si>
  <si>
    <t>AR6339</t>
  </si>
  <si>
    <t>Luton Walk In Centre, 14-16 Chapel St - FM</t>
  </si>
  <si>
    <t>AR6340</t>
  </si>
  <si>
    <t>Marsh Farm HC, The Moakes, Marsh Farm - FM</t>
  </si>
  <si>
    <t>AR6342</t>
  </si>
  <si>
    <t>Regents Court, Fourth Floor, Laporte Way - FM</t>
  </si>
  <si>
    <t>AR6343</t>
  </si>
  <si>
    <t>Sundon Park Health Centre, 10Th Avenue - FM</t>
  </si>
  <si>
    <t>AR6344</t>
  </si>
  <si>
    <t>The Atrium, Park St West, Luton - FM</t>
  </si>
  <si>
    <t>The Lodge, 4 George St West, Luton - FM</t>
  </si>
  <si>
    <t>AR6347</t>
  </si>
  <si>
    <t>Wigmore Lane Health Centre - FM</t>
  </si>
  <si>
    <t>AR6366</t>
  </si>
  <si>
    <t>Campbell Day Centre MK Gen Hosp - FM</t>
  </si>
  <si>
    <t>AR6377</t>
  </si>
  <si>
    <t>Queensway Clinic - FM</t>
  </si>
  <si>
    <t>Sherwood - FM</t>
  </si>
  <si>
    <t>AR6384</t>
  </si>
  <si>
    <t>Walkincentre and Land - FM</t>
  </si>
  <si>
    <t>AR6405</t>
  </si>
  <si>
    <t>11/12 The Warrens - FM</t>
  </si>
  <si>
    <t>AR6406</t>
  </si>
  <si>
    <t>25 The Warrens - FM</t>
  </si>
  <si>
    <t>AR6407</t>
  </si>
  <si>
    <t>Ashby Health Centre - FM</t>
  </si>
  <si>
    <t>AR6408</t>
  </si>
  <si>
    <t>Barrow Upon Soar Health Centre - FM</t>
  </si>
  <si>
    <t>AR6410</t>
  </si>
  <si>
    <t>Charnwood Mill - Leicestershire - FM</t>
  </si>
  <si>
    <t>AR6412</t>
  </si>
  <si>
    <t>Dental Access Centre Leicester - FM</t>
  </si>
  <si>
    <t>Fosse House - FM</t>
  </si>
  <si>
    <t>AR6415</t>
  </si>
  <si>
    <t>Hinckley &amp; District Hospital - FM</t>
  </si>
  <si>
    <t>AR6417</t>
  </si>
  <si>
    <t>Kibworth Health Centre - FM</t>
  </si>
  <si>
    <t>AR6418</t>
  </si>
  <si>
    <t>Loughborough Health Centre - FM</t>
  </si>
  <si>
    <t>AR6419</t>
  </si>
  <si>
    <t>Loughborough Walk In Centre - USE AR6418 - FM</t>
  </si>
  <si>
    <t>AR6422</t>
  </si>
  <si>
    <t>Market Harborough &amp; District Hosp - FM</t>
  </si>
  <si>
    <t>AR6424</t>
  </si>
  <si>
    <t>Melton Mowbray Hospital - FM</t>
  </si>
  <si>
    <t>AR6425</t>
  </si>
  <si>
    <t>Oadby Health Clinic - FM</t>
  </si>
  <si>
    <t>AR6426</t>
  </si>
  <si>
    <t>Overton House - Leicester - FM</t>
  </si>
  <si>
    <t>AR6427</t>
  </si>
  <si>
    <t>South Wigston Health Centre - FM</t>
  </si>
  <si>
    <t>AR6428</t>
  </si>
  <si>
    <t>St Lukes Hospital - FM</t>
  </si>
  <si>
    <t>AR6429</t>
  </si>
  <si>
    <t>Whitwick Health Centre - FM</t>
  </si>
  <si>
    <t>AR6430</t>
  </si>
  <si>
    <t>Woodgate - Leicester - FM</t>
  </si>
  <si>
    <t>AR6434</t>
  </si>
  <si>
    <t>Birchwood Health Centre - FM</t>
  </si>
  <si>
    <t>AR6436</t>
  </si>
  <si>
    <t>Boston Health Clinic - FM</t>
  </si>
  <si>
    <t>AR6439</t>
  </si>
  <si>
    <t>Caistor Health Centre - FM</t>
  </si>
  <si>
    <t>Cross O Cliff Court - FM</t>
  </si>
  <si>
    <t>AR6441</t>
  </si>
  <si>
    <t>Crowland Health Clinic - FM</t>
  </si>
  <si>
    <t>Fen House - FM</t>
  </si>
  <si>
    <t>Fort Barnes Warehouse - FM</t>
  </si>
  <si>
    <t>AR6445</t>
  </si>
  <si>
    <t>Gainsborough Health Clinic - FM</t>
  </si>
  <si>
    <t>AR6449</t>
  </si>
  <si>
    <t>Holbeach Health Clinic - FM</t>
  </si>
  <si>
    <t>AR6450</t>
  </si>
  <si>
    <t>Horncastle Health Clinic - FM</t>
  </si>
  <si>
    <t>AR6452</t>
  </si>
  <si>
    <t>John Coupland Hospital (Whole Site) - FM</t>
  </si>
  <si>
    <t>AR6457</t>
  </si>
  <si>
    <t>Market Rasen Health Clinic - FM</t>
  </si>
  <si>
    <t>North Hykeham Health Centre - FM</t>
  </si>
  <si>
    <t>AR6468</t>
  </si>
  <si>
    <t>Saxilby Health Clinic - FM</t>
  </si>
  <si>
    <t>AR6470</t>
  </si>
  <si>
    <t>Skegness Health Clinic - FM</t>
  </si>
  <si>
    <t>AR6471</t>
  </si>
  <si>
    <t>Skegness Hospital (Whole Site) - FM</t>
  </si>
  <si>
    <t>AR6474</t>
  </si>
  <si>
    <t>Stamford Health Clinic - FM</t>
  </si>
  <si>
    <t>Johnson Community Hospital - PFI - FM</t>
  </si>
  <si>
    <t>AR6480</t>
  </si>
  <si>
    <t>Grantham Health Centre - FM</t>
  </si>
  <si>
    <t>Louth County Hospital - FM</t>
  </si>
  <si>
    <t>AR6505</t>
  </si>
  <si>
    <t>Belgrave Health Centre - FM</t>
  </si>
  <si>
    <t>AR6507</t>
  </si>
  <si>
    <t>Braunstone Hlth &amp; Social Care Centr - FM</t>
  </si>
  <si>
    <t>Bridge Park Plaza - FM</t>
  </si>
  <si>
    <t>AR6509</t>
  </si>
  <si>
    <t>Bridge Park Plaza Unit 18 - FM</t>
  </si>
  <si>
    <t>AR6510</t>
  </si>
  <si>
    <t>Leicester City Assist Practice - FM</t>
  </si>
  <si>
    <t>AR6511</t>
  </si>
  <si>
    <t>Comm Hlth Centre (Melbourne Centre) - FM</t>
  </si>
  <si>
    <t>AR6513</t>
  </si>
  <si>
    <t>De Montfort Surgery - FM</t>
  </si>
  <si>
    <t>AR6514</t>
  </si>
  <si>
    <t>Sayeed Medical Centre - East Park Road - FM</t>
  </si>
  <si>
    <t>AR6515</t>
  </si>
  <si>
    <t>Humberstone Medical Centre - FM</t>
  </si>
  <si>
    <t>AR6516</t>
  </si>
  <si>
    <t>Merlyn Vaz Health And Social Care Centre - FM</t>
  </si>
  <si>
    <t>AR6517</t>
  </si>
  <si>
    <t>Merridale Medical Centre - FM</t>
  </si>
  <si>
    <t>AR6519</t>
  </si>
  <si>
    <t>New Parks Health Centre - Leicester - FM</t>
  </si>
  <si>
    <t>AR6521</t>
  </si>
  <si>
    <t>Pasley Road Health Centre - FM</t>
  </si>
  <si>
    <t>AR6523</t>
  </si>
  <si>
    <t>Riverside House - Leicester - FM</t>
  </si>
  <si>
    <t>AR6524</t>
  </si>
  <si>
    <t>Rushey Mead Health Centre - FM</t>
  </si>
  <si>
    <t>AR6526</t>
  </si>
  <si>
    <t>St Peters Health Centre - FM</t>
  </si>
  <si>
    <t>St Johns House - Leicester - FM</t>
  </si>
  <si>
    <t>AR6529</t>
  </si>
  <si>
    <t>Uppingham Road Health Centre - FM</t>
  </si>
  <si>
    <t>AR6531</t>
  </si>
  <si>
    <t>Westcotes Health Centre - FM</t>
  </si>
  <si>
    <t>AR6550</t>
  </si>
  <si>
    <t>Biddulph - LIFT - FM</t>
  </si>
  <si>
    <t>AR6551</t>
  </si>
  <si>
    <t>Blythe Bridge HC - FM</t>
  </si>
  <si>
    <t>AR6552</t>
  </si>
  <si>
    <t>Heath Street (Legal Charge) - FM</t>
  </si>
  <si>
    <t>AR6556</t>
  </si>
  <si>
    <t>Miller St - FM</t>
  </si>
  <si>
    <t>Morston House - FM</t>
  </si>
  <si>
    <t>AR6559</t>
  </si>
  <si>
    <t>High St, Newcastle-under-Lyme - FM</t>
  </si>
  <si>
    <t>AR6562</t>
  </si>
  <si>
    <t>St Georges Chambers - FM</t>
  </si>
  <si>
    <t>AR6563</t>
  </si>
  <si>
    <t>Talke Clinic (High St) - FM</t>
  </si>
  <si>
    <t>AR6581</t>
  </si>
  <si>
    <t>26 Sandon Road - FM</t>
  </si>
  <si>
    <t>AR6587</t>
  </si>
  <si>
    <t>Blythe Bridge - FM</t>
  </si>
  <si>
    <t>Anglesey House - FM</t>
  </si>
  <si>
    <t>AR6592</t>
  </si>
  <si>
    <t>Cobridge - LIFT - FM</t>
  </si>
  <si>
    <t>AR6593</t>
  </si>
  <si>
    <t>Druglink - Hope St - FM</t>
  </si>
  <si>
    <t>AR6596</t>
  </si>
  <si>
    <t>Hanley Health &amp; Wellbeing Centre - FM</t>
  </si>
  <si>
    <t>Herbert Minton - FM</t>
  </si>
  <si>
    <t>Heron House - FM</t>
  </si>
  <si>
    <t>AR6600</t>
  </si>
  <si>
    <t>Longton Hall Surgery - FM</t>
  </si>
  <si>
    <t>AR6601</t>
  </si>
  <si>
    <t>Meir Health Centre - FM</t>
  </si>
  <si>
    <t>AR6609</t>
  </si>
  <si>
    <t>Trent Vale Health Centre - FM</t>
  </si>
  <si>
    <t>AR6610</t>
  </si>
  <si>
    <t>Tunstall (Dransfield 3Pd) (FL) - FM</t>
  </si>
  <si>
    <t>AR6611</t>
  </si>
  <si>
    <t>Tunstall Health Centre - FM</t>
  </si>
  <si>
    <t>AR6612</t>
  </si>
  <si>
    <t>Whitfield Valley Centre - FM</t>
  </si>
  <si>
    <t>AR6613</t>
  </si>
  <si>
    <t>Willowbank Health Centre - FM</t>
  </si>
  <si>
    <t>AR6631</t>
  </si>
  <si>
    <t>Beecroft Court Block C - FM</t>
  </si>
  <si>
    <t>AR6633</t>
  </si>
  <si>
    <t>Burntwood Hc - FM</t>
  </si>
  <si>
    <t>AR6634</t>
  </si>
  <si>
    <t>Edric House - FM</t>
  </si>
  <si>
    <t>Edwin House - FM</t>
  </si>
  <si>
    <t>AR6637</t>
  </si>
  <si>
    <t>Glascote Hc - FM</t>
  </si>
  <si>
    <t>AR6638</t>
  </si>
  <si>
    <t>Greenhill Hc - FM</t>
  </si>
  <si>
    <t>AR6639</t>
  </si>
  <si>
    <t>Greyfriars, Stafford - FM</t>
  </si>
  <si>
    <t>AR6640</t>
  </si>
  <si>
    <t>Heath Hayes Hc - FM</t>
  </si>
  <si>
    <t>AR6641</t>
  </si>
  <si>
    <t>Hednesford Valley Medical Centre (FL) - FM</t>
  </si>
  <si>
    <t>AR6642</t>
  </si>
  <si>
    <t>Hill Street Hc - FM</t>
  </si>
  <si>
    <t>AR6644</t>
  </si>
  <si>
    <t>Kinver Clinic - FM</t>
  </si>
  <si>
    <t>Merlin House FL - FM</t>
  </si>
  <si>
    <t>AR6646</t>
  </si>
  <si>
    <t>Norton Canes Medical Centre (FL) - FM</t>
  </si>
  <si>
    <t>AR6648</t>
  </si>
  <si>
    <t>Salters Meadow Hc - FM</t>
  </si>
  <si>
    <t>AR6649</t>
  </si>
  <si>
    <t>Sandy Lane Medical Centre Rugeley (FL) - FM</t>
  </si>
  <si>
    <t>AR6650</t>
  </si>
  <si>
    <t>Springfield Wellbeing Centre (FL) - FM</t>
  </si>
  <si>
    <t>AR6651</t>
  </si>
  <si>
    <t>St Chads HC - FM</t>
  </si>
  <si>
    <t>AR6652</t>
  </si>
  <si>
    <t>Tamworth Hc - FM</t>
  </si>
  <si>
    <t>AR6653</t>
  </si>
  <si>
    <t>Tutbury Hc - FM</t>
  </si>
  <si>
    <t>AR6654</t>
  </si>
  <si>
    <t>Winshill Hc - FM</t>
  </si>
  <si>
    <t>AR6656</t>
  </si>
  <si>
    <t>Stone Rehabilitation Centre - FM</t>
  </si>
  <si>
    <t>AR6657</t>
  </si>
  <si>
    <t>Branston Primary Care Centre (FL) - FM</t>
  </si>
  <si>
    <t>AR6659</t>
  </si>
  <si>
    <t>Stoneydelph Health Centre - FM</t>
  </si>
  <si>
    <t>AR6660</t>
  </si>
  <si>
    <t>Langton Grange Health Centre (FL) - FM</t>
  </si>
  <si>
    <t>Barking Community Hospital - FM</t>
  </si>
  <si>
    <t>AR7001</t>
  </si>
  <si>
    <t>Barking Town Centre Hc - LIFT - FM</t>
  </si>
  <si>
    <t>AR7003</t>
  </si>
  <si>
    <t>Chadwell Heath Health Centre - LIFT - FM</t>
  </si>
  <si>
    <t>AR7005</t>
  </si>
  <si>
    <t>Julia Engwell Health Centre - FM</t>
  </si>
  <si>
    <t>AR7006</t>
  </si>
  <si>
    <t>Marks Gate HC (Community Services) - LIFT - FM</t>
  </si>
  <si>
    <t>AR7007</t>
  </si>
  <si>
    <t>Oxlow Lane Clinic - FM</t>
  </si>
  <si>
    <t>AR7008</t>
  </si>
  <si>
    <t>Porters Avenue Health Centre - LIFT - FM</t>
  </si>
  <si>
    <t>AR7011</t>
  </si>
  <si>
    <t>The Clock House - FM</t>
  </si>
  <si>
    <t>AR7012</t>
  </si>
  <si>
    <t>Vicarage Fields Health Centre - FM</t>
  </si>
  <si>
    <t>AR7026</t>
  </si>
  <si>
    <t>149 East Barnet Road - FM</t>
  </si>
  <si>
    <t>AR7028</t>
  </si>
  <si>
    <t>Brunswick Park Road HC - FM</t>
  </si>
  <si>
    <t>AR7029</t>
  </si>
  <si>
    <t>Bullimore House (New) - FM</t>
  </si>
  <si>
    <t>Edgware Hosp (Burnt Oak Broadway) - FM</t>
  </si>
  <si>
    <t>AR7031</t>
  </si>
  <si>
    <t>Holly Park Clinic - FM</t>
  </si>
  <si>
    <t>AR7032</t>
  </si>
  <si>
    <t>Marie Foster Centre - FM</t>
  </si>
  <si>
    <t>AR7033</t>
  </si>
  <si>
    <t>Oakleigh Road Health Centre - FM</t>
  </si>
  <si>
    <t>AR7034</t>
  </si>
  <si>
    <t>Torrington Park Health Centre - FM</t>
  </si>
  <si>
    <t>AR7048</t>
  </si>
  <si>
    <t>Chalkhill Primary Care Centre - FM</t>
  </si>
  <si>
    <t>AR7049</t>
  </si>
  <si>
    <t>Hillside Primary Care Centre - FM</t>
  </si>
  <si>
    <t>AR7052</t>
  </si>
  <si>
    <t>Stag Lane Clinic - FM</t>
  </si>
  <si>
    <t>AR7053</t>
  </si>
  <si>
    <t>Sudbury Primary Care Centre - LIFT - FM</t>
  </si>
  <si>
    <t>Wembley Centre For Health And Care - FM</t>
  </si>
  <si>
    <t>AR7055</t>
  </si>
  <si>
    <t>Willesden Centre For Hlth And Care - PFI - FM</t>
  </si>
  <si>
    <t>AR7066</t>
  </si>
  <si>
    <t>173 Kentish Town Road - FM</t>
  </si>
  <si>
    <t>AR7067</t>
  </si>
  <si>
    <t>197 Kentish Town Road (Job Shop) - FM</t>
  </si>
  <si>
    <t>AR7069</t>
  </si>
  <si>
    <t>210 Kilburn High Road - FM</t>
  </si>
  <si>
    <t>AR7070</t>
  </si>
  <si>
    <t>264 Pentonville Road - FM</t>
  </si>
  <si>
    <t>75 Hampstead Road (Ground Floor) - FM</t>
  </si>
  <si>
    <t>Stephenson House - FM</t>
  </si>
  <si>
    <t>AR7082</t>
  </si>
  <si>
    <t>St Albans Villas - FM</t>
  </si>
  <si>
    <t>AR7098</t>
  </si>
  <si>
    <t>1 Madinah Road - FM</t>
  </si>
  <si>
    <t>AR7100</t>
  </si>
  <si>
    <t>Allerton Road - FM</t>
  </si>
  <si>
    <t>AR7101</t>
  </si>
  <si>
    <t>Barton House Health Centre - FM</t>
  </si>
  <si>
    <t>Clifton House L31 - FM</t>
  </si>
  <si>
    <t>AR7106</t>
  </si>
  <si>
    <t>Green House - FM</t>
  </si>
  <si>
    <t>AR7108</t>
  </si>
  <si>
    <t>Hackney Ark - LIFT - FM</t>
  </si>
  <si>
    <t>AR7109</t>
  </si>
  <si>
    <t>Ivy Centre - FM</t>
  </si>
  <si>
    <t>AR7110</t>
  </si>
  <si>
    <t>John Scott Health Centre - FM</t>
  </si>
  <si>
    <t>AR7115</t>
  </si>
  <si>
    <t>Louis Freedman Centre - FM</t>
  </si>
  <si>
    <t>AR7116</t>
  </si>
  <si>
    <t>Lower Clapton Health Centre - FM</t>
  </si>
  <si>
    <t>AR7120</t>
  </si>
  <si>
    <t>Rushton Street - FM</t>
  </si>
  <si>
    <t>AR7121</t>
  </si>
  <si>
    <t>Somerford Grove Health Centre - FM</t>
  </si>
  <si>
    <t>AR7123</t>
  </si>
  <si>
    <t>Sorsby Health Centre - FM</t>
  </si>
  <si>
    <t>St Leonard s - FM</t>
  </si>
  <si>
    <t>AR7128</t>
  </si>
  <si>
    <t>Wick Health Centre - FM</t>
  </si>
  <si>
    <t>AR7147</t>
  </si>
  <si>
    <t>Forest Road Primary Care Centre - LIFT - FM</t>
  </si>
  <si>
    <t>AR7150</t>
  </si>
  <si>
    <t>Moorfield Road Health Centre - FM</t>
  </si>
  <si>
    <t>AR7164</t>
  </si>
  <si>
    <t>Broadwater Farm Health Centre - FM</t>
  </si>
  <si>
    <t>AR7171</t>
  </si>
  <si>
    <t>The Laurels Healthy Living Centre - FM</t>
  </si>
  <si>
    <t>AR7185</t>
  </si>
  <si>
    <t>Alexandra Avenue Clinic - LIFT - FM</t>
  </si>
  <si>
    <t>AR7186</t>
  </si>
  <si>
    <t>Belmont Health Centre - FM</t>
  </si>
  <si>
    <t>AR7194</t>
  </si>
  <si>
    <t>The Heights 4th Floor - FM</t>
  </si>
  <si>
    <t>AR7207</t>
  </si>
  <si>
    <t>Collier Row Clinic - FM</t>
  </si>
  <si>
    <t>AR7208</t>
  </si>
  <si>
    <t>Cranham Health Centre - LIFT - FM</t>
  </si>
  <si>
    <t>AR7209</t>
  </si>
  <si>
    <t>Harold Hill Health Centre - LIFT - FM</t>
  </si>
  <si>
    <t>AR7210</t>
  </si>
  <si>
    <t>Harold Wood Polyclinic - FM</t>
  </si>
  <si>
    <t>AR7211</t>
  </si>
  <si>
    <t>Orchard Village Walk In Centre - FM</t>
  </si>
  <si>
    <t>AR7212</t>
  </si>
  <si>
    <t>South Hornchurch Health Centre - LIFT - FM</t>
  </si>
  <si>
    <t>AR7214</t>
  </si>
  <si>
    <t>Victoria Centre - FM</t>
  </si>
  <si>
    <t>AR7227</t>
  </si>
  <si>
    <t>17-23 Pine Street (Finsbury Hc) - FM</t>
  </si>
  <si>
    <t>AR7228</t>
  </si>
  <si>
    <t>331 Camden Road (Partnership) - LIFT - FM</t>
  </si>
  <si>
    <t>348-366 Goswell Road - FM</t>
  </si>
  <si>
    <t>AR7246</t>
  </si>
  <si>
    <t>Balaam Park Health Centre - FM</t>
  </si>
  <si>
    <t>AR7248</t>
  </si>
  <si>
    <t>Carpenters Community Centre - FM</t>
  </si>
  <si>
    <t>AR7249</t>
  </si>
  <si>
    <t>Community House - FM</t>
  </si>
  <si>
    <t>AR7250</t>
  </si>
  <si>
    <t>Deanery Road Nhs Midwifery Group - FM</t>
  </si>
  <si>
    <t>AR7252</t>
  </si>
  <si>
    <t>East Ham Memorial Hospital - FM</t>
  </si>
  <si>
    <t>AR7253</t>
  </si>
  <si>
    <t>Freemasons Road - FM</t>
  </si>
  <si>
    <t>AR7255</t>
  </si>
  <si>
    <t>Lord Lister Health Centre - FM</t>
  </si>
  <si>
    <t>Warehouse K - FM</t>
  </si>
  <si>
    <t>AR7260</t>
  </si>
  <si>
    <t>Royal Docks Health Centre - FM</t>
  </si>
  <si>
    <t>AR7261</t>
  </si>
  <si>
    <t>Shrewsbury Road Health Centre - FM</t>
  </si>
  <si>
    <t>AR7264</t>
  </si>
  <si>
    <t>Stratford Office Village - FM</t>
  </si>
  <si>
    <t>AR7265</t>
  </si>
  <si>
    <t>Vicarage Lane Health Centre - LIFT - FM</t>
  </si>
  <si>
    <t>AR7266</t>
  </si>
  <si>
    <t>West Beckton Health Centre - FM</t>
  </si>
  <si>
    <t>AR7267</t>
  </si>
  <si>
    <t>West Ham Health Centre - FM</t>
  </si>
  <si>
    <t>AR7269</t>
  </si>
  <si>
    <t>St Stephens Health Centre - 12 William Place - FM</t>
  </si>
  <si>
    <t>Becketts House - FM</t>
  </si>
  <si>
    <t>AR7285</t>
  </si>
  <si>
    <t>Former Wanstead Hospital Site - FM</t>
  </si>
  <si>
    <t>AR7286</t>
  </si>
  <si>
    <t>Fullwell Cross Health Centre - FM</t>
  </si>
  <si>
    <t>AR7287</t>
  </si>
  <si>
    <t>Green Lodge Respite Care Unit - FM</t>
  </si>
  <si>
    <t>AR7288</t>
  </si>
  <si>
    <t>Hainault Health Centre - LIFT - FM</t>
  </si>
  <si>
    <t>AR7289</t>
  </si>
  <si>
    <t>Heathcote Clinic - FM</t>
  </si>
  <si>
    <t>AR7291</t>
  </si>
  <si>
    <t>Loxford Polyclinic - FM</t>
  </si>
  <si>
    <t>AR7292</t>
  </si>
  <si>
    <t>Manford Way Decant Building - FM</t>
  </si>
  <si>
    <t>AR7293</t>
  </si>
  <si>
    <t>Newbury Park Health Centre - FM</t>
  </si>
  <si>
    <t>AR7294</t>
  </si>
  <si>
    <t>Redbridge Childrens Centre - FM</t>
  </si>
  <si>
    <t>AR7295</t>
  </si>
  <si>
    <t>Seven Kings Health Centre - FM</t>
  </si>
  <si>
    <t>AR7296</t>
  </si>
  <si>
    <t>South Woodford Health Centre - FM</t>
  </si>
  <si>
    <t>AR7297</t>
  </si>
  <si>
    <t>Redbridge Diabetic Centre - FM</t>
  </si>
  <si>
    <t>AR7299</t>
  </si>
  <si>
    <t>Madiera Grove - FM</t>
  </si>
  <si>
    <t>AR7310</t>
  </si>
  <si>
    <t>Aberfeldy Practice - FM</t>
  </si>
  <si>
    <t>AR7312</t>
  </si>
  <si>
    <t>Aneurin Bevan House - FM</t>
  </si>
  <si>
    <t>AR7315</t>
  </si>
  <si>
    <t>Bethnal Green Health Centre - FM</t>
  </si>
  <si>
    <t>AR7317</t>
  </si>
  <si>
    <t>Blithehale Health Centre - FM</t>
  </si>
  <si>
    <t>AR7320</t>
  </si>
  <si>
    <t>Gill St Hlth Centre/Limehouse Prac - FM</t>
  </si>
  <si>
    <t>AR7322</t>
  </si>
  <si>
    <t>Pinchin Street Practice - FM</t>
  </si>
  <si>
    <t>AR7324</t>
  </si>
  <si>
    <t>Ruston Street Clinic - FM</t>
  </si>
  <si>
    <t>AR7326</t>
  </si>
  <si>
    <t>St Andrews Health Centre - FM</t>
  </si>
  <si>
    <t>AR7328</t>
  </si>
  <si>
    <t>Wapping Health Centre - FM</t>
  </si>
  <si>
    <t>AR7329</t>
  </si>
  <si>
    <t>Whitechapel Walk-In Centre - FM</t>
  </si>
  <si>
    <t>AR7331</t>
  </si>
  <si>
    <t>Wellington Way Health Centre - FM</t>
  </si>
  <si>
    <t>AR7333</t>
  </si>
  <si>
    <t>Island Health Medical Centre - East Ferry Road - FM</t>
  </si>
  <si>
    <t>AR7344</t>
  </si>
  <si>
    <t>Ainsley Rehab &amp; Therapy Unit - FM</t>
  </si>
  <si>
    <t>AR7346</t>
  </si>
  <si>
    <t>Ching Way Health Centre - FM</t>
  </si>
  <si>
    <t>AR7347</t>
  </si>
  <si>
    <t>Comely Bank Clinic - LIFT - FM</t>
  </si>
  <si>
    <t>AR7348</t>
  </si>
  <si>
    <t>Forest Road Medical Centre - FM</t>
  </si>
  <si>
    <t>AR7349</t>
  </si>
  <si>
    <t>Green Man Medical Centre - FM</t>
  </si>
  <si>
    <t>AR7350</t>
  </si>
  <si>
    <t>Handsworth Avenue Health Centre - FM</t>
  </si>
  <si>
    <t>AR7351</t>
  </si>
  <si>
    <t>Highams Court Health Centre - FM</t>
  </si>
  <si>
    <t>AR7352</t>
  </si>
  <si>
    <t>Hurst Road Health Centre - FM</t>
  </si>
  <si>
    <t>AR7354</t>
  </si>
  <si>
    <t>Oliver Road Polyclinic - FM</t>
  </si>
  <si>
    <t>AR7356</t>
  </si>
  <si>
    <t>Silverthorne Health Centre - FM</t>
  </si>
  <si>
    <t>AR7357</t>
  </si>
  <si>
    <t>St James Health Centre L31 - FM</t>
  </si>
  <si>
    <t>AR7358</t>
  </si>
  <si>
    <t>Wood Street Clinic - LIFT - FM</t>
  </si>
  <si>
    <t>AR7364</t>
  </si>
  <si>
    <t>Island Medical Centre - FM</t>
  </si>
  <si>
    <t>AR7365</t>
  </si>
  <si>
    <t>Portsoken Health Centre - FM</t>
  </si>
  <si>
    <t>AR7372</t>
  </si>
  <si>
    <t>Alexandra Road - FM</t>
  </si>
  <si>
    <t>AR7377</t>
  </si>
  <si>
    <t>Hillview Surgery - FM</t>
  </si>
  <si>
    <t>AR7381</t>
  </si>
  <si>
    <t>119 Uxbridge Rd (PALS) - FM</t>
  </si>
  <si>
    <t>AR7382</t>
  </si>
  <si>
    <t>Primary Care Education Centre - FM</t>
  </si>
  <si>
    <t>AR7383</t>
  </si>
  <si>
    <t>Ravenor Park Clinic - FM</t>
  </si>
  <si>
    <t>AR7385</t>
  </si>
  <si>
    <t>Waterside Health Centre - FM</t>
  </si>
  <si>
    <t>AR7386</t>
  </si>
  <si>
    <t>Sir Ludwig Guttman - FM</t>
  </si>
  <si>
    <t>AR7398</t>
  </si>
  <si>
    <t>41 Uxbridge Road (Old Oak Surgery) - FM</t>
  </si>
  <si>
    <t>AR7399</t>
  </si>
  <si>
    <t>Bridge House Centre For Health - LIFT - FM</t>
  </si>
  <si>
    <t>AR7400</t>
  </si>
  <si>
    <t>Canberra Centre Dental Practice - FM</t>
  </si>
  <si>
    <t>AR7401</t>
  </si>
  <si>
    <t>Canberra Centre Medical Centre - FM</t>
  </si>
  <si>
    <t>AR7402</t>
  </si>
  <si>
    <t>Cassidy Medical Centre - FM</t>
  </si>
  <si>
    <t>AR7406</t>
  </si>
  <si>
    <t>Milson Road Health Centre - FM</t>
  </si>
  <si>
    <t>AR7409</t>
  </si>
  <si>
    <t>Stamford Brook Centre - FM</t>
  </si>
  <si>
    <t>AR7410</t>
  </si>
  <si>
    <t>The Palace Surgery (FL) - FM</t>
  </si>
  <si>
    <t>AR7412</t>
  </si>
  <si>
    <t>White City Health Centre - FM</t>
  </si>
  <si>
    <t>AR7447</t>
  </si>
  <si>
    <t>Brentford Health Centre - FM</t>
  </si>
  <si>
    <t>AR7448</t>
  </si>
  <si>
    <t>Chiswick Health Centre - FM</t>
  </si>
  <si>
    <t>AR7449</t>
  </si>
  <si>
    <t>Feltham Centre For Health - FM</t>
  </si>
  <si>
    <t>AR7450</t>
  </si>
  <si>
    <t>Heart Of Hounslow Centre For Health - LIFT - FM</t>
  </si>
  <si>
    <t>AR7451</t>
  </si>
  <si>
    <t>Heston Health Centre - FM</t>
  </si>
  <si>
    <t>AR7452</t>
  </si>
  <si>
    <t>Maswell Park Health Centre - FM</t>
  </si>
  <si>
    <t>Sovereign Court - FM</t>
  </si>
  <si>
    <t>AR7454</t>
  </si>
  <si>
    <t>The Isleworth Centre - FM</t>
  </si>
  <si>
    <t>AR7455</t>
  </si>
  <si>
    <t>The Meadows Centre for Health - FM</t>
  </si>
  <si>
    <t>AR7456</t>
  </si>
  <si>
    <t>Thornbury Road Centre For Health - FM</t>
  </si>
  <si>
    <t>AR7469</t>
  </si>
  <si>
    <t>215 Lisson Grove - FM</t>
  </si>
  <si>
    <t>AR7471</t>
  </si>
  <si>
    <t>Alison House - FM</t>
  </si>
  <si>
    <t>AR7472</t>
  </si>
  <si>
    <t>Athlone House (Nursing Home) - FM</t>
  </si>
  <si>
    <t>AR7476</t>
  </si>
  <si>
    <t>Great Chapel Street Medical Centre - FM</t>
  </si>
  <si>
    <t>AR7477</t>
  </si>
  <si>
    <t>Hallfield Clinic - FM</t>
  </si>
  <si>
    <t>AR7481</t>
  </si>
  <si>
    <t>Regency Street Nh - FM</t>
  </si>
  <si>
    <t>AR7482</t>
  </si>
  <si>
    <t>South Westminster Health Centre (FL) - FM</t>
  </si>
  <si>
    <t>AR7484</t>
  </si>
  <si>
    <t>The Soho Centre - FM</t>
  </si>
  <si>
    <t>AR7487</t>
  </si>
  <si>
    <t>Westminster Diabetes Centre - FM</t>
  </si>
  <si>
    <t>AR7489</t>
  </si>
  <si>
    <t>Walmer Road Clinic - FM</t>
  </si>
  <si>
    <t>AR7490</t>
  </si>
  <si>
    <t>20 Kingsbridge Road - FM</t>
  </si>
  <si>
    <t>AR7491</t>
  </si>
  <si>
    <t>Abingdon Health Centre - FM</t>
  </si>
  <si>
    <t>AR7494</t>
  </si>
  <si>
    <t>Earls Court Health Centre - FM</t>
  </si>
  <si>
    <t>AR7495</t>
  </si>
  <si>
    <t>Emperors Gate Health Centre - FM</t>
  </si>
  <si>
    <t>AR7497</t>
  </si>
  <si>
    <t>Kensington Park Medical Centre - FM</t>
  </si>
  <si>
    <t>AR7499</t>
  </si>
  <si>
    <t>Princess Louise Hospital - FM</t>
  </si>
  <si>
    <t>AR7500</t>
  </si>
  <si>
    <t>Scarsdale Place Medical Centre - FM</t>
  </si>
  <si>
    <t>AR7501</t>
  </si>
  <si>
    <t>St Charles Hospital - FM</t>
  </si>
  <si>
    <t>AR7502</t>
  </si>
  <si>
    <t>St Quintin Health Centre - FM</t>
  </si>
  <si>
    <t>AR7512</t>
  </si>
  <si>
    <t>Honeypot Lane Clinic - FM</t>
  </si>
  <si>
    <t>AR7514</t>
  </si>
  <si>
    <t>The Wealdstone Centre - FM</t>
  </si>
  <si>
    <t>AR7515</t>
  </si>
  <si>
    <t>Woodfield Road - FM</t>
  </si>
  <si>
    <t>AR7521</t>
  </si>
  <si>
    <t>Bernard Weatherill House - FM</t>
  </si>
  <si>
    <t>AR7534</t>
  </si>
  <si>
    <t>Addington Road - FM</t>
  </si>
  <si>
    <t>AR7575</t>
  </si>
  <si>
    <t>Access Ability - FM</t>
  </si>
  <si>
    <t>AR7576</t>
  </si>
  <si>
    <t>Broad Green Centre - FM</t>
  </si>
  <si>
    <t>AR7577</t>
  </si>
  <si>
    <t>Crystal Cntr For Children s Srvcs - FM</t>
  </si>
  <si>
    <t>AR7579</t>
  </si>
  <si>
    <t>Norbury Health Centre - FM</t>
  </si>
  <si>
    <t>AR7580</t>
  </si>
  <si>
    <t>Parkway Health Centre - FM</t>
  </si>
  <si>
    <t>AR7581</t>
  </si>
  <si>
    <t>The Gp Led Health Centre - FM</t>
  </si>
  <si>
    <t>AR7582</t>
  </si>
  <si>
    <t>Thornton Heath Health Centre - FM</t>
  </si>
  <si>
    <t>AR7585</t>
  </si>
  <si>
    <t>Valley Park Surgery - FM</t>
  </si>
  <si>
    <t>AR7587</t>
  </si>
  <si>
    <t>Woodside Health Centre - FM</t>
  </si>
  <si>
    <t>AR7588</t>
  </si>
  <si>
    <t>Lennard Road - FM</t>
  </si>
  <si>
    <t>AR7610</t>
  </si>
  <si>
    <t>Gallions Reach Health Centre - FM</t>
  </si>
  <si>
    <t>AR7612</t>
  </si>
  <si>
    <t>Greenwich Park Street - FM</t>
  </si>
  <si>
    <t>AR7615</t>
  </si>
  <si>
    <t>Millenium Village Health Centre (FL) - FM</t>
  </si>
  <si>
    <t>AR7617</t>
  </si>
  <si>
    <t>Rusthall Lodge (Lh) - FM</t>
  </si>
  <si>
    <t>AR7619</t>
  </si>
  <si>
    <t>Vanbrugh Health Centre - FM</t>
  </si>
  <si>
    <t>AR7639</t>
  </si>
  <si>
    <t>Acre Road - FM</t>
  </si>
  <si>
    <t>AR7640</t>
  </si>
  <si>
    <t>Elm House (Currently Being Disposed Of) - FM</t>
  </si>
  <si>
    <t>AR7642</t>
  </si>
  <si>
    <t>Gosbury Hill Clinic - FM</t>
  </si>
  <si>
    <t>AR7647</t>
  </si>
  <si>
    <t>Oakhill Clinic - FM</t>
  </si>
  <si>
    <t>AR7648</t>
  </si>
  <si>
    <t>Roselands Clinic - FM</t>
  </si>
  <si>
    <t>1 Lower Marsh (Lh) - FM</t>
  </si>
  <si>
    <t>AR7670</t>
  </si>
  <si>
    <t>Clapham Manor Health Centre (Lh) - FM</t>
  </si>
  <si>
    <t>AR7671</t>
  </si>
  <si>
    <t>Clapham Park Surgery/Rathmell Drive - FM</t>
  </si>
  <si>
    <t>AR7673</t>
  </si>
  <si>
    <t>Elm Court Health Centre (Lh) - FM</t>
  </si>
  <si>
    <t>AR7675</t>
  </si>
  <si>
    <t>Moffat Clinic (Lh) - FM</t>
  </si>
  <si>
    <t>AR7677</t>
  </si>
  <si>
    <t>Part Of Paxton Green Health Centre - FM</t>
  </si>
  <si>
    <t>AR7678</t>
  </si>
  <si>
    <t>Pavillion Hc - FM</t>
  </si>
  <si>
    <t>AR7682</t>
  </si>
  <si>
    <t>Streatham Hill Health Centre (Fh) - FM</t>
  </si>
  <si>
    <t>AR7696</t>
  </si>
  <si>
    <t>19-21 Brownhill Road (Fh) - FM</t>
  </si>
  <si>
    <t>AR7697</t>
  </si>
  <si>
    <t>Baring Road (Lh) - FM</t>
  </si>
  <si>
    <t>Cantilever House (Lh) - FM</t>
  </si>
  <si>
    <t>AR7699</t>
  </si>
  <si>
    <t>Downham Health &amp; Leisure Centre - FM</t>
  </si>
  <si>
    <t>AR7700</t>
  </si>
  <si>
    <t>Goodwood Road Walk-In Centre (Lh) - FM</t>
  </si>
  <si>
    <t>AR7701</t>
  </si>
  <si>
    <t>Ivy House (Lh) - FM</t>
  </si>
  <si>
    <t>AR7702</t>
  </si>
  <si>
    <t>Jenner Health Centre (Fh) - FM</t>
  </si>
  <si>
    <t>AR7703</t>
  </si>
  <si>
    <t>Lind Clinic (Lh) - FM</t>
  </si>
  <si>
    <t>AR7704</t>
  </si>
  <si>
    <t>South Lewisham Health Centre (Fh) - FM</t>
  </si>
  <si>
    <t>AR7718</t>
  </si>
  <si>
    <t>Sheen Lane Health Centre - FM</t>
  </si>
  <si>
    <t>AR7719</t>
  </si>
  <si>
    <t>St Johns Health Centre - FM</t>
  </si>
  <si>
    <t>AR7720</t>
  </si>
  <si>
    <t>Thames House - FM</t>
  </si>
  <si>
    <t>AR7733</t>
  </si>
  <si>
    <t>Albion Street Health Centre (Fh) - FM</t>
  </si>
  <si>
    <t>AR7735</t>
  </si>
  <si>
    <t>Dulwich Community Hospital (Fh) - FM</t>
  </si>
  <si>
    <t>AR7737</t>
  </si>
  <si>
    <t>Gaumont Surgery (Ground Floor) (Lh) - FM</t>
  </si>
  <si>
    <t>AR7739</t>
  </si>
  <si>
    <t>Lister Health Centre (Lh) - FM</t>
  </si>
  <si>
    <t>AR7743</t>
  </si>
  <si>
    <t>Spa Medical Centre - FM</t>
  </si>
  <si>
    <t>AR7744</t>
  </si>
  <si>
    <t>St Olave s Hospital (Fh) - FM</t>
  </si>
  <si>
    <t>AR7747</t>
  </si>
  <si>
    <t>Surrey Docks Health Centre (Lh) - FM</t>
  </si>
  <si>
    <t>AR7749</t>
  </si>
  <si>
    <t>Units 4 Burgess Industrial Park - FM</t>
  </si>
  <si>
    <t>AR7766</t>
  </si>
  <si>
    <t>120 The Broadway, 6Th Floor - FM</t>
  </si>
  <si>
    <t>AR7768</t>
  </si>
  <si>
    <t>Balham Health Centre - FM</t>
  </si>
  <si>
    <t>AR7769</t>
  </si>
  <si>
    <t>Bridge Lane Health Centre - FM</t>
  </si>
  <si>
    <t>AR7770</t>
  </si>
  <si>
    <t>Brocklebank Health Centre - FM</t>
  </si>
  <si>
    <t>AR7772</t>
  </si>
  <si>
    <t>Doddington Health Clinic - FM</t>
  </si>
  <si>
    <t>AR7774</t>
  </si>
  <si>
    <t>Furzedown Primary Care Centre (FL) - FM</t>
  </si>
  <si>
    <t>AR7775</t>
  </si>
  <si>
    <t>Greyswood Practice (FL) - FM</t>
  </si>
  <si>
    <t>AR7778</t>
  </si>
  <si>
    <t>Mapleton Centre - FM</t>
  </si>
  <si>
    <t>AR7779</t>
  </si>
  <si>
    <t>Queen Marys Hospital (Roehampton) - PFI - FM</t>
  </si>
  <si>
    <t>AR7782</t>
  </si>
  <si>
    <t>St John s - LIFT - FM</t>
  </si>
  <si>
    <t>AR7783</t>
  </si>
  <si>
    <t>St Pauls Cottage - FM</t>
  </si>
  <si>
    <t>AR7785</t>
  </si>
  <si>
    <t>Stormont Health Clinic B - FM</t>
  </si>
  <si>
    <t>AR7786</t>
  </si>
  <si>
    <t>80 Kennington Road, South London - FM</t>
  </si>
  <si>
    <t>AR7787</t>
  </si>
  <si>
    <t>Tooting Bec Medical Centre (FL) - FM</t>
  </si>
  <si>
    <t>AR7789</t>
  </si>
  <si>
    <t>Tudor Lodge Health Centre - FM</t>
  </si>
  <si>
    <t>AR7790</t>
  </si>
  <si>
    <t>Wandsworth Pct Teak Tower - FM</t>
  </si>
  <si>
    <t>AR7791</t>
  </si>
  <si>
    <t>Wimbledon Bridge House - FM</t>
  </si>
  <si>
    <t>AR7793</t>
  </si>
  <si>
    <t>Westmoor Hostel - FM</t>
  </si>
  <si>
    <t>AR7794</t>
  </si>
  <si>
    <t>Westmoor Mayfield Surgery-Clinic Portion - FM</t>
  </si>
  <si>
    <t>AR7812</t>
  </si>
  <si>
    <t>Birches Close - FM</t>
  </si>
  <si>
    <t>AR7813</t>
  </si>
  <si>
    <t>Birches Polyclinic - FM</t>
  </si>
  <si>
    <t>AR7816</t>
  </si>
  <si>
    <t>Cedar Lodge - FM</t>
  </si>
  <si>
    <t>AR7821</t>
  </si>
  <si>
    <t>Morden Road Clinic - FM</t>
  </si>
  <si>
    <t>AR7822</t>
  </si>
  <si>
    <t>Nelson Hospital - FM</t>
  </si>
  <si>
    <t>AR7824</t>
  </si>
  <si>
    <t>Patrick Doody Clinic - FM</t>
  </si>
  <si>
    <t>Priory Crescent Clinic - FM</t>
  </si>
  <si>
    <t>AR7827</t>
  </si>
  <si>
    <t>Robin Hood Lane (FL) - FM</t>
  </si>
  <si>
    <t>AR7828</t>
  </si>
  <si>
    <t>Roundshaw Health Centre (FL) - FM</t>
  </si>
  <si>
    <t>AR7833</t>
  </si>
  <si>
    <t>The Wilson Hospital - FM</t>
  </si>
  <si>
    <t>AR7835</t>
  </si>
  <si>
    <t>Wideway Medical Centre (FL) - FM</t>
  </si>
  <si>
    <t>AR7836</t>
  </si>
  <si>
    <t>Wilson, Gp Led Health Centre - FM</t>
  </si>
  <si>
    <t>AR7837</t>
  </si>
  <si>
    <t>Jubilee Health Centre - FM</t>
  </si>
  <si>
    <t>AR7849</t>
  </si>
  <si>
    <t>Norwood Joint Service Centre - FM</t>
  </si>
  <si>
    <t>St Martins Hospital - FM</t>
  </si>
  <si>
    <t>AR8015</t>
  </si>
  <si>
    <t>Bicester New Hospital - PFI - FM</t>
  </si>
  <si>
    <t>AR8027</t>
  </si>
  <si>
    <t>Berkeley Hospital, Marybrook Street - FM</t>
  </si>
  <si>
    <t>AR8028</t>
  </si>
  <si>
    <t>Cinderford Health Centre - FM</t>
  </si>
  <si>
    <t>AR8029</t>
  </si>
  <si>
    <t>Coleford Health Centre - FM</t>
  </si>
  <si>
    <t>AR8030</t>
  </si>
  <si>
    <t>District It - FM</t>
  </si>
  <si>
    <t>AR8037</t>
  </si>
  <si>
    <t>Lydbrook Health Centre, Upper Lydbrook - FM</t>
  </si>
  <si>
    <t>AR8038</t>
  </si>
  <si>
    <t>Lydney Health Centre - FM</t>
  </si>
  <si>
    <t>AR8042</t>
  </si>
  <si>
    <t>Newent Health Centre, Watery Lane - FM</t>
  </si>
  <si>
    <t>Unit 5220, Sanger House - FM</t>
  </si>
  <si>
    <t>AR8049</t>
  </si>
  <si>
    <t>Stonehouse HC, 25 High Street - FM</t>
  </si>
  <si>
    <t>AR8050</t>
  </si>
  <si>
    <t>Stroud Health Centre, Beeches Green - FM</t>
  </si>
  <si>
    <t>AR8055</t>
  </si>
  <si>
    <t>Wotton Under Edge Clinic - FM</t>
  </si>
  <si>
    <t>AR8056</t>
  </si>
  <si>
    <t>Yorkley Health Centre, Bailey Hill - FM</t>
  </si>
  <si>
    <t>AR8076</t>
  </si>
  <si>
    <t>Eldene Health Centre - FM</t>
  </si>
  <si>
    <t>AR8080</t>
  </si>
  <si>
    <t>Swindon HC Carfax Street Swindon - FM</t>
  </si>
  <si>
    <t>AR8081</t>
  </si>
  <si>
    <t>Swindon Intermediate Care Centre - FM</t>
  </si>
  <si>
    <t>West Swindon Health Centre Link Way - FM</t>
  </si>
  <si>
    <t>AR8085</t>
  </si>
  <si>
    <t>Wroughton HC Ellendue Wroughton - FM</t>
  </si>
  <si>
    <t>AR8099</t>
  </si>
  <si>
    <t>Avonmouth Medical Centre - FM</t>
  </si>
  <si>
    <t>AR8100</t>
  </si>
  <si>
    <t>Brooklea Health Centre - FM</t>
  </si>
  <si>
    <t>AR8101</t>
  </si>
  <si>
    <t>Charlotte Keel Health Centre - FM</t>
  </si>
  <si>
    <t>AR8103</t>
  </si>
  <si>
    <t>Eastville Health Centre - FM</t>
  </si>
  <si>
    <t>AR8104</t>
  </si>
  <si>
    <t>Fishponds Health Centre - LIFT - FM</t>
  </si>
  <si>
    <t>AR8105</t>
  </si>
  <si>
    <t>Granby Clinic - FM</t>
  </si>
  <si>
    <t>AR8106</t>
  </si>
  <si>
    <t>Hampton House Health Centre - LIFT - FM</t>
  </si>
  <si>
    <t>AR8107</t>
  </si>
  <si>
    <t>Hartcliffe Health Centre - FM</t>
  </si>
  <si>
    <t>AR8108</t>
  </si>
  <si>
    <t>John Milton Clinic - FM</t>
  </si>
  <si>
    <t>AR8109</t>
  </si>
  <si>
    <t>Knowle Clinic - FM</t>
  </si>
  <si>
    <t>AR8110</t>
  </si>
  <si>
    <t>Lawrence Weston Clinic - FM</t>
  </si>
  <si>
    <t>AR8111</t>
  </si>
  <si>
    <t>Montpelier Health Centre - FM</t>
  </si>
  <si>
    <t>AR8112</t>
  </si>
  <si>
    <t>New Friends Hall - FM</t>
  </si>
  <si>
    <t>AR8114</t>
  </si>
  <si>
    <t>Shirehampton Health Centre - LIFT - FM</t>
  </si>
  <si>
    <t>AR8117</t>
  </si>
  <si>
    <t>South Bristol Walk in Centre - FM</t>
  </si>
  <si>
    <t>South Plaza - FM</t>
  </si>
  <si>
    <t>AR8119</t>
  </si>
  <si>
    <t>Southmead Health Centre - FM</t>
  </si>
  <si>
    <t>AR8120</t>
  </si>
  <si>
    <t>St Johns Lane Health Centre - FM</t>
  </si>
  <si>
    <t>AR8123</t>
  </si>
  <si>
    <t>Whitchurch Health Centre - LIFT - FM</t>
  </si>
  <si>
    <t>AR8124</t>
  </si>
  <si>
    <t>William Budd Health Centre - FM</t>
  </si>
  <si>
    <t>AR8142</t>
  </si>
  <si>
    <t>Clevedon Hospital - FM</t>
  </si>
  <si>
    <t>AR8143</t>
  </si>
  <si>
    <t>Clevedon Hospital - The Seasons - FM</t>
  </si>
  <si>
    <t>AR8145</t>
  </si>
  <si>
    <t>Marina Healthcare Centre - FM</t>
  </si>
  <si>
    <t>AR8148</t>
  </si>
  <si>
    <t>Pill Clinic - FM</t>
  </si>
  <si>
    <t>AR8149</t>
  </si>
  <si>
    <t>St Georges Surgery Worle - FM</t>
  </si>
  <si>
    <t>AR8150</t>
  </si>
  <si>
    <t>Stockmead Nurses Home - FM</t>
  </si>
  <si>
    <t>AR8153</t>
  </si>
  <si>
    <t>Worle Health Centre - FM</t>
  </si>
  <si>
    <t>AR8166</t>
  </si>
  <si>
    <t>1st Floor Priory Health Park - FM</t>
  </si>
  <si>
    <t>AR8170</t>
  </si>
  <si>
    <t>Chard Dental Access Centre - FM</t>
  </si>
  <si>
    <t>AR8172</t>
  </si>
  <si>
    <t>Frome Health Centre - FM</t>
  </si>
  <si>
    <t>Wynford House - FM</t>
  </si>
  <si>
    <t>AR8183</t>
  </si>
  <si>
    <t>Lyngford House - BU</t>
  </si>
  <si>
    <t>AR8198</t>
  </si>
  <si>
    <t>Cadbury Heath Health Centre - FM</t>
  </si>
  <si>
    <t>AR8199</t>
  </si>
  <si>
    <t>Church House Respite Centre - FM</t>
  </si>
  <si>
    <t>AR8200</t>
  </si>
  <si>
    <t>Downend Clinic - FM</t>
  </si>
  <si>
    <t>AR8201</t>
  </si>
  <si>
    <t>Filton Clinic - FM</t>
  </si>
  <si>
    <t>AR8202</t>
  </si>
  <si>
    <t>Fountain Court - FM</t>
  </si>
  <si>
    <t>AR8203</t>
  </si>
  <si>
    <t>Kingswood Cldt - FM</t>
  </si>
  <si>
    <t>AR8204</t>
  </si>
  <si>
    <t>Patchway Clinic - FM</t>
  </si>
  <si>
    <t>AR8207</t>
  </si>
  <si>
    <t>Yate West Gate Centre - FM</t>
  </si>
  <si>
    <t>Crown Yealm House - FM</t>
  </si>
  <si>
    <t>Pomona House - FM</t>
  </si>
  <si>
    <t>AR8269</t>
  </si>
  <si>
    <t>Bodmin Health Centre - FM</t>
  </si>
  <si>
    <t>AR8272</t>
  </si>
  <si>
    <t>Bodriggy Health Centre,60 Queensway - FM</t>
  </si>
  <si>
    <t>AR8276</t>
  </si>
  <si>
    <t>Callington Community Clinic - FM</t>
  </si>
  <si>
    <t>AR8278</t>
  </si>
  <si>
    <t>Camborne &amp; Redruth Community Hosp - FM</t>
  </si>
  <si>
    <t>AR8288</t>
  </si>
  <si>
    <t>Falmouth Health Centre - FM</t>
  </si>
  <si>
    <t>AR8289</t>
  </si>
  <si>
    <t>Falmouth Hospital - FM</t>
  </si>
  <si>
    <t>AR8295</t>
  </si>
  <si>
    <t>Helston Health Centre - FM</t>
  </si>
  <si>
    <t>AR8303</t>
  </si>
  <si>
    <t>Par Health Centre - FM</t>
  </si>
  <si>
    <t>AR8316</t>
  </si>
  <si>
    <t>St Keverne Health Centre - FM</t>
  </si>
  <si>
    <t>AR8324</t>
  </si>
  <si>
    <t>Tintagel Community Clinic - FM</t>
  </si>
  <si>
    <t>AR8361</t>
  </si>
  <si>
    <t>Building 6B - FM</t>
  </si>
  <si>
    <t>AR8372</t>
  </si>
  <si>
    <t>Gables - FM</t>
  </si>
  <si>
    <t>AR8441</t>
  </si>
  <si>
    <t>Aylesham Health Centre - FM</t>
  </si>
  <si>
    <t>AR8442</t>
  </si>
  <si>
    <t>Baker Road Clinic - FM</t>
  </si>
  <si>
    <t>Bramblefields Clinic - FM</t>
  </si>
  <si>
    <t>AR8444</t>
  </si>
  <si>
    <t>Broadstairs Health Centre - FM</t>
  </si>
  <si>
    <t>Brook House - FM</t>
  </si>
  <si>
    <t>AR8446</t>
  </si>
  <si>
    <t>Cairn Ryan - FM</t>
  </si>
  <si>
    <t>AR8448</t>
  </si>
  <si>
    <t>Canterbury Health Centre - FM</t>
  </si>
  <si>
    <t>AR8450</t>
  </si>
  <si>
    <t>College Road Clinic - FM</t>
  </si>
  <si>
    <t>AR8452</t>
  </si>
  <si>
    <t>Dover Health Centre - FM</t>
  </si>
  <si>
    <t>AR8453</t>
  </si>
  <si>
    <t>East Cross Clinic - FM</t>
  </si>
  <si>
    <t>AR8454</t>
  </si>
  <si>
    <t>Eversley House - FM</t>
  </si>
  <si>
    <t>AR8455</t>
  </si>
  <si>
    <t>Faversham Cottage Hospital - FM</t>
  </si>
  <si>
    <t>AR8456</t>
  </si>
  <si>
    <t>Faversham Health Centre - FM</t>
  </si>
  <si>
    <t>AR8458</t>
  </si>
  <si>
    <t>Folkestone Health Centre - FM</t>
  </si>
  <si>
    <t>AR8459</t>
  </si>
  <si>
    <t>Garlinge Surgery - FM</t>
  </si>
  <si>
    <t>AR8460</t>
  </si>
  <si>
    <t>Hythe Clinic - FM</t>
  </si>
  <si>
    <t>Inca House - FM</t>
  </si>
  <si>
    <t>AR8462</t>
  </si>
  <si>
    <t>Iwade Medical Centre - FM</t>
  </si>
  <si>
    <t>Kent House - FM</t>
  </si>
  <si>
    <t>AR8464</t>
  </si>
  <si>
    <t>Kingfisher Centre - FM</t>
  </si>
  <si>
    <t>AR8465</t>
  </si>
  <si>
    <t>Lanthorne Court/Heath House - FM</t>
  </si>
  <si>
    <t>AR8466</t>
  </si>
  <si>
    <t>New Romney Clinic - FM</t>
  </si>
  <si>
    <t>AR8467</t>
  </si>
  <si>
    <t>Newington Road Clinic - FM</t>
  </si>
  <si>
    <t>AR8468</t>
  </si>
  <si>
    <t>Oaten Hill - FM</t>
  </si>
  <si>
    <t>AR8470</t>
  </si>
  <si>
    <t>Queen Victoria Memorial Hospital - FM</t>
  </si>
  <si>
    <t>AR8473</t>
  </si>
  <si>
    <t>Sheerness Health Centre - FM</t>
  </si>
  <si>
    <t>AR8474</t>
  </si>
  <si>
    <t>Sheppey Community Hospital - FM</t>
  </si>
  <si>
    <t>AR8475</t>
  </si>
  <si>
    <t>Sittingbourne Memorial Hospital - FM</t>
  </si>
  <si>
    <t>AR8476</t>
  </si>
  <si>
    <t>St Stephens Health Centre - FM</t>
  </si>
  <si>
    <t>AR8477</t>
  </si>
  <si>
    <t>Suite 7 - FM</t>
  </si>
  <si>
    <t>AR8478</t>
  </si>
  <si>
    <t>Templar House - FM</t>
  </si>
  <si>
    <t>AR8481</t>
  </si>
  <si>
    <t>Vicarage Lane Clinic - FM</t>
  </si>
  <si>
    <t>AR8482</t>
  </si>
  <si>
    <t>Victoria Hospital, Deal - FM</t>
  </si>
  <si>
    <t>AR8484</t>
  </si>
  <si>
    <t>Whitstable &amp; Tankerton Hospital - FM</t>
  </si>
  <si>
    <t>AR8485</t>
  </si>
  <si>
    <t>Whitstable Health Centre - FM</t>
  </si>
  <si>
    <t>AR8491</t>
  </si>
  <si>
    <t>Edenbridge Hospital - FM</t>
  </si>
  <si>
    <t>AR8501</t>
  </si>
  <si>
    <t>M Block - FM</t>
  </si>
  <si>
    <t>AR8504</t>
  </si>
  <si>
    <t>Rainbow Lodge - FM</t>
  </si>
  <si>
    <t>AR8511</t>
  </si>
  <si>
    <t>Staplehurst Medical Centre - FM</t>
  </si>
  <si>
    <t>Tenacre Court - FM</t>
  </si>
  <si>
    <t>Wharf House - FM</t>
  </si>
  <si>
    <t>11 Station Road - FM</t>
  </si>
  <si>
    <t>AR8552</t>
  </si>
  <si>
    <t>105 Nelson Road - FM</t>
  </si>
  <si>
    <t>50 Pembroke Court - FM</t>
  </si>
  <si>
    <t>AR8569</t>
  </si>
  <si>
    <t>Canterbury Street - FM</t>
  </si>
  <si>
    <t>AR8571</t>
  </si>
  <si>
    <t>College, Pentagon Centre - FM</t>
  </si>
  <si>
    <t>AR8574</t>
  </si>
  <si>
    <t>Dmc Greenacres - FM</t>
  </si>
  <si>
    <t>AR8578</t>
  </si>
  <si>
    <t>Keystone Centre - FM</t>
  </si>
  <si>
    <t>AR8580</t>
  </si>
  <si>
    <t>Lordswood Healthy Living Centre - LIFT - FM</t>
  </si>
  <si>
    <t>AR8583</t>
  </si>
  <si>
    <t>Parkwood Health Centre - FM</t>
  </si>
  <si>
    <t>AR8588</t>
  </si>
  <si>
    <t>Sterling House - FM</t>
  </si>
  <si>
    <t>AR8590</t>
  </si>
  <si>
    <t>Twydal Green Clinic - FM</t>
  </si>
  <si>
    <t>Lanchester House (Pct Hq) - FM</t>
  </si>
  <si>
    <t>AR8620</t>
  </si>
  <si>
    <t>Wellsbourne Health Centre - FM</t>
  </si>
  <si>
    <t>AR8634</t>
  </si>
  <si>
    <t>Highglades - FM</t>
  </si>
  <si>
    <t>AR8635</t>
  </si>
  <si>
    <t>Station Plaza Primary Care Centre - FM</t>
  </si>
  <si>
    <t>AR8655</t>
  </si>
  <si>
    <t>Firwood - FM</t>
  </si>
  <si>
    <t>Friars Walk - FM</t>
  </si>
  <si>
    <t>AR8670</t>
  </si>
  <si>
    <t>Springman House - FM</t>
  </si>
  <si>
    <t>AR8674</t>
  </si>
  <si>
    <t>Addlestone Health Centre - FM</t>
  </si>
  <si>
    <t>AR8676</t>
  </si>
  <si>
    <t>Asford Clinic - FM</t>
  </si>
  <si>
    <t>AR8677</t>
  </si>
  <si>
    <t>Ash Vale Health Centre - FM</t>
  </si>
  <si>
    <t>AR8678</t>
  </si>
  <si>
    <t>Ashtead Clinic - FM</t>
  </si>
  <si>
    <t>AR8680</t>
  </si>
  <si>
    <t>Beacon Rsch Site - FM</t>
  </si>
  <si>
    <t>AR8681</t>
  </si>
  <si>
    <t>Beechcroft - FM</t>
  </si>
  <si>
    <t>AR8682</t>
  </si>
  <si>
    <t>Berkshire Road Clinic - FM</t>
  </si>
  <si>
    <t>AR8684</t>
  </si>
  <si>
    <t>Bournewood House Chertsey - FM</t>
  </si>
  <si>
    <t>AR8685</t>
  </si>
  <si>
    <t>Buryfields Clinic - FM</t>
  </si>
  <si>
    <t>AR8686</t>
  </si>
  <si>
    <t>Camberley Health Centre - FM</t>
  </si>
  <si>
    <t>AR8687</t>
  </si>
  <si>
    <t>Caterham Dene Hospital - FM</t>
  </si>
  <si>
    <t>AR8689</t>
  </si>
  <si>
    <t>Chertsey Health Centre - FM</t>
  </si>
  <si>
    <t>AR8692</t>
  </si>
  <si>
    <t>Cranleigh Health Centre - FM</t>
  </si>
  <si>
    <t>AR8693</t>
  </si>
  <si>
    <t>Cranleigh Village Hospital - FM</t>
  </si>
  <si>
    <t>AR8695</t>
  </si>
  <si>
    <t>Earnsdale - FM</t>
  </si>
  <si>
    <t>AR8701</t>
  </si>
  <si>
    <t>Englefield Green Health Centre - FM</t>
  </si>
  <si>
    <t>AR8702</t>
  </si>
  <si>
    <t>Epsom &amp; Ewell Cott Hosp Incl Poplars - FM</t>
  </si>
  <si>
    <t>AR8703</t>
  </si>
  <si>
    <t>Epsom Clinic - FM</t>
  </si>
  <si>
    <t>AR8705</t>
  </si>
  <si>
    <t>Farnham Hospital&amp;Centre For Health - PFI - FM</t>
  </si>
  <si>
    <t>AR8709</t>
  </si>
  <si>
    <t>Frimley Green Medical Centre Annexe - FM</t>
  </si>
  <si>
    <t>AR8710</t>
  </si>
  <si>
    <t>Goldsworth Park Health Centre - FM</t>
  </si>
  <si>
    <t>AR8711</t>
  </si>
  <si>
    <t>Haslemere Health Centre - FM</t>
  </si>
  <si>
    <t>AR8712</t>
  </si>
  <si>
    <t>Haslemere Hospital - FM</t>
  </si>
  <si>
    <t>AR8713</t>
  </si>
  <si>
    <t>Birchwood Medical Practice - FM</t>
  </si>
  <si>
    <t>AR8714</t>
  </si>
  <si>
    <t>Jarvis Centre - FM</t>
  </si>
  <si>
    <t>AR8717</t>
  </si>
  <si>
    <t>Lingfield Clinic - FM</t>
  </si>
  <si>
    <t>AR8721</t>
  </si>
  <si>
    <t>Milford Hospital - FM</t>
  </si>
  <si>
    <t>AR8724</t>
  </si>
  <si>
    <t>Oxted Health Centre - FM</t>
  </si>
  <si>
    <t>AR8725</t>
  </si>
  <si>
    <t>Oxted Therapies Unit, Barnett Shaw - FM</t>
  </si>
  <si>
    <t>AR8727</t>
  </si>
  <si>
    <t>Royal Earlswood Park - FM</t>
  </si>
  <si>
    <t>AR8729</t>
  </si>
  <si>
    <t>Shepperton Health Centre - FM</t>
  </si>
  <si>
    <t>AR8730</t>
  </si>
  <si>
    <t>St David s Health Centre - FM</t>
  </si>
  <si>
    <t>AR8731</t>
  </si>
  <si>
    <t>St John s Court - FM</t>
  </si>
  <si>
    <t>AR8732</t>
  </si>
  <si>
    <t>St John s Health Centre - FM</t>
  </si>
  <si>
    <t>AR8734</t>
  </si>
  <si>
    <t>Staines Health Centre - FM</t>
  </si>
  <si>
    <t>AR8735</t>
  </si>
  <si>
    <t>Stanwell Community Centre - FM</t>
  </si>
  <si>
    <t>AR8736</t>
  </si>
  <si>
    <t>Sunbury Health Centre - FM</t>
  </si>
  <si>
    <t>AR8738</t>
  </si>
  <si>
    <t>The Grove Community Centre - FM</t>
  </si>
  <si>
    <t>AR8739</t>
  </si>
  <si>
    <t>Walton Community Hospital - FM</t>
  </si>
  <si>
    <t>AR8740</t>
  </si>
  <si>
    <t>Walton Health Centre - FM</t>
  </si>
  <si>
    <t>AR8741</t>
  </si>
  <si>
    <t>Wayside Surgery (Health Res Centre) - FM</t>
  </si>
  <si>
    <t>AR8742</t>
  </si>
  <si>
    <t>West Byfleet Health Centre - FM</t>
  </si>
  <si>
    <t>Weybridge Hosp&amp;Primary Care Centre - FM</t>
  </si>
  <si>
    <t>AR8744</t>
  </si>
  <si>
    <t>White House - FM</t>
  </si>
  <si>
    <t>AR8745</t>
  </si>
  <si>
    <t>Woking Community Hospital - FM</t>
  </si>
  <si>
    <t>AR8751</t>
  </si>
  <si>
    <t>Bognor Regis War Memorial Hospital - FM</t>
  </si>
  <si>
    <t>Causeway - FM</t>
  </si>
  <si>
    <t>AR8762</t>
  </si>
  <si>
    <t>Durston House - FM</t>
  </si>
  <si>
    <t>AR8795</t>
  </si>
  <si>
    <t>West Street - FM</t>
  </si>
  <si>
    <t>AR8798</t>
  </si>
  <si>
    <t>Zachary Merton Hospital - FM</t>
  </si>
  <si>
    <t>AR8844</t>
  </si>
  <si>
    <t>Berrinsfield Health Centre - FM</t>
  </si>
  <si>
    <t>AR8845</t>
  </si>
  <si>
    <t>Bicester Hospital - FM</t>
  </si>
  <si>
    <t>AR8853</t>
  </si>
  <si>
    <t>Kennington Health Centre - FM</t>
  </si>
  <si>
    <t>AR8854</t>
  </si>
  <si>
    <t>Kidlington Health Centre - FM</t>
  </si>
  <si>
    <t>AR8857</t>
  </si>
  <si>
    <t>Temple Cowley Health Centre - FM</t>
  </si>
  <si>
    <t>AR8859</t>
  </si>
  <si>
    <t>Townlands Hospital - FM</t>
  </si>
  <si>
    <t>AR8860</t>
  </si>
  <si>
    <t>Wantage Health Centre (Mably Way) - FM</t>
  </si>
  <si>
    <t>AR8862</t>
  </si>
  <si>
    <t>Woodfarm Health Centre - FM</t>
  </si>
  <si>
    <t>AR8867</t>
  </si>
  <si>
    <t>Blackbird Leys Health Centre - FM</t>
  </si>
  <si>
    <t>AR8869</t>
  </si>
  <si>
    <t>Faringdon Day Hospital - FM</t>
  </si>
  <si>
    <t>AR8870</t>
  </si>
  <si>
    <t>Luther Street Medical Centre - FM</t>
  </si>
  <si>
    <t>AR8925</t>
  </si>
  <si>
    <t>Boscombe and Springbourne Health Centre - FM</t>
  </si>
  <si>
    <t>AR8938</t>
  </si>
  <si>
    <t>New Milton Health Centre - FM</t>
  </si>
  <si>
    <t>AR8961</t>
  </si>
  <si>
    <t>Admiral House, Cosham - FM</t>
  </si>
  <si>
    <t>AR8963</t>
  </si>
  <si>
    <t>Cosham Health Centre - FM</t>
  </si>
  <si>
    <t>AR8964</t>
  </si>
  <si>
    <t>Eastney Health Centre - FM</t>
  </si>
  <si>
    <t>AR8965</t>
  </si>
  <si>
    <t>Guildhall Walk (27) - FM</t>
  </si>
  <si>
    <t>AR8967</t>
  </si>
  <si>
    <t>Lake Road Health Centre - FM</t>
  </si>
  <si>
    <t>AR8969</t>
  </si>
  <si>
    <t>Paulsgrove Healthy Living Centre - FM</t>
  </si>
  <si>
    <t>AR8970</t>
  </si>
  <si>
    <t>Pompey Centre - Unit 3/4B - FM</t>
  </si>
  <si>
    <t>AR8971</t>
  </si>
  <si>
    <t>Pompey Centre - Unit 3/4C - FM</t>
  </si>
  <si>
    <t>AR8976</t>
  </si>
  <si>
    <t>St Mary s Community Health Campus (Block A &amp; B) - FM</t>
  </si>
  <si>
    <t>AR8978</t>
  </si>
  <si>
    <t>Somerstown Health Centre - FM</t>
  </si>
  <si>
    <t>St James Hospital - FM</t>
  </si>
  <si>
    <t>AR8983</t>
  </si>
  <si>
    <t>John Pounds Medical Centre - FM</t>
  </si>
  <si>
    <t>AR8993</t>
  </si>
  <si>
    <t>Aldermoor Health Centre - FM</t>
  </si>
  <si>
    <t>AR8994</t>
  </si>
  <si>
    <t>Bitterne Park Medical Centre - FM</t>
  </si>
  <si>
    <t>AR8995</t>
  </si>
  <si>
    <t>Josian Centre - FM</t>
  </si>
  <si>
    <t>AR8996</t>
  </si>
  <si>
    <t>Lordshill Health Centre - FM</t>
  </si>
  <si>
    <t>AR8999</t>
  </si>
  <si>
    <t>Newtown Clinic - FM</t>
  </si>
  <si>
    <t>Oakley Road: PCT Headquarters - FM</t>
  </si>
  <si>
    <t>AR9005</t>
  </si>
  <si>
    <t>Shirley Health Centre - FM</t>
  </si>
  <si>
    <t>AR9007</t>
  </si>
  <si>
    <t>Weston Lane Centre - FM</t>
  </si>
  <si>
    <t>AR9016</t>
  </si>
  <si>
    <t>RSH: Site wide costs and land - FM</t>
  </si>
  <si>
    <t>Southgate House, Pans Lane, Devizes - FM</t>
  </si>
  <si>
    <t>AR9057</t>
  </si>
  <si>
    <t>Aldershot Centre for Health - PFI - FM</t>
  </si>
  <si>
    <t>AR9058</t>
  </si>
  <si>
    <t>Alton Health Centre - FM</t>
  </si>
  <si>
    <t>AR9059</t>
  </si>
  <si>
    <t>Bramblys Grange - FM</t>
  </si>
  <si>
    <t>Coitbury House - FM</t>
  </si>
  <si>
    <t>AR9063</t>
  </si>
  <si>
    <t>Denmead Health Centre - FM</t>
  </si>
  <si>
    <t>AR9064</t>
  </si>
  <si>
    <t>Dunsbury Way/Orion Centre - FM</t>
  </si>
  <si>
    <t>AR9065</t>
  </si>
  <si>
    <t>Eastleigh Health Centre - FM</t>
  </si>
  <si>
    <t>AR9068</t>
  </si>
  <si>
    <t>Fareham Health Centre - FM</t>
  </si>
  <si>
    <t>AR9069</t>
  </si>
  <si>
    <t>Fareham Reach Units 120 &amp;130 - FM</t>
  </si>
  <si>
    <t>AR9072</t>
  </si>
  <si>
    <t>Friarsgate Medical Centre - FM</t>
  </si>
  <si>
    <t>AR9074</t>
  </si>
  <si>
    <t>Havant Health Centre - FM</t>
  </si>
  <si>
    <t>AR9075</t>
  </si>
  <si>
    <t>Hayling Island Health Centre - FM</t>
  </si>
  <si>
    <t>AR9076</t>
  </si>
  <si>
    <t>Hythe Hospital / Medical Centre - FM</t>
  </si>
  <si>
    <t>AR9077</t>
  </si>
  <si>
    <t>Kingsclere Health Centre - FM</t>
  </si>
  <si>
    <t>AR9078</t>
  </si>
  <si>
    <t>Lee On Solent Health Centre - FM</t>
  </si>
  <si>
    <t>AR9080</t>
  </si>
  <si>
    <t>Milford on Sea War Memorial Hosp - FM</t>
  </si>
  <si>
    <t>AR9081</t>
  </si>
  <si>
    <t>North Baddesley Health Centre - FM</t>
  </si>
  <si>
    <t>Omega House - FM</t>
  </si>
  <si>
    <t>AR9085</t>
  </si>
  <si>
    <t>Portchester Health Centre - FM</t>
  </si>
  <si>
    <t>PPSA- Winnal Store - FM</t>
  </si>
  <si>
    <t>AR9088</t>
  </si>
  <si>
    <t>Ringwood Medical Centre - FM</t>
  </si>
  <si>
    <t>AR9094</t>
  </si>
  <si>
    <t>Tidbury Farm - FM</t>
  </si>
  <si>
    <t>AR9095</t>
  </si>
  <si>
    <t>Totton Health Centre - FM</t>
  </si>
  <si>
    <t>AR9096</t>
  </si>
  <si>
    <t>Waterlooville Health Centre - FM</t>
  </si>
  <si>
    <t>AR9097</t>
  </si>
  <si>
    <t>Yateley Health Centre - FM</t>
  </si>
  <si>
    <t>AR9098</t>
  </si>
  <si>
    <t>Ashurst Birthing Centre - FM</t>
  </si>
  <si>
    <t>AR9100</t>
  </si>
  <si>
    <t>New Forest Lymington Hospital - PFI - FM</t>
  </si>
  <si>
    <t>AR9101</t>
  </si>
  <si>
    <t>Chase Hospital - FM</t>
  </si>
  <si>
    <t>AR9102</t>
  </si>
  <si>
    <t>Ashurst Hospital - FM</t>
  </si>
  <si>
    <t>AR9103</t>
  </si>
  <si>
    <t>Fordingbridge Hospital - FM</t>
  </si>
  <si>
    <t>AR9104</t>
  </si>
  <si>
    <t>Sharland House - FM</t>
  </si>
  <si>
    <t>AR9106</t>
  </si>
  <si>
    <t>Royal South Hants Hospital - FM</t>
  </si>
  <si>
    <t>St Chads Court - FM</t>
  </si>
  <si>
    <t>AR9123</t>
  </si>
  <si>
    <t>St Chads House - FM</t>
  </si>
  <si>
    <t>AR9124</t>
  </si>
  <si>
    <t>Thornbury Health Centre - FM</t>
  </si>
  <si>
    <t>AR9132</t>
  </si>
  <si>
    <t>Stockwood Medical Centre - FM</t>
  </si>
  <si>
    <t>AR9133</t>
  </si>
  <si>
    <t>Millcross - Land at Woodington Road - FM</t>
  </si>
  <si>
    <t>AR9167</t>
  </si>
  <si>
    <t>Newton Drive Health Centre - FM</t>
  </si>
  <si>
    <t>AR9444</t>
  </si>
  <si>
    <t>NHSD - 6B City Link</t>
  </si>
  <si>
    <t>105 Victoria Street - 4F (Southside) - FM</t>
  </si>
  <si>
    <t>AR9456</t>
  </si>
  <si>
    <t>St Johns House - FM</t>
  </si>
  <si>
    <t>Victoria House - FM</t>
  </si>
  <si>
    <t>AR9466</t>
  </si>
  <si>
    <t>Portland House 18th Floor - FM</t>
  </si>
  <si>
    <t>Waterfront 4 - Ground Floor - FM</t>
  </si>
  <si>
    <t>AR9473</t>
  </si>
  <si>
    <t>Waterfront 4 - First Floor - FM</t>
  </si>
  <si>
    <t>Waterfront 4 - Second Floor - FM</t>
  </si>
  <si>
    <t>Piccadilly Place - FM</t>
  </si>
  <si>
    <t>AR9484</t>
  </si>
  <si>
    <t>SC - Rivergate House - First Floor - FM</t>
  </si>
  <si>
    <t>SEC - York House (SHA HQ) - FM</t>
  </si>
  <si>
    <t>SW -SOUTH WEST HOUSE - FM</t>
  </si>
  <si>
    <t>AR9499</t>
  </si>
  <si>
    <t>Don Valley House - FM</t>
  </si>
  <si>
    <t>AR9681</t>
  </si>
  <si>
    <t>LONDON REGION  - LAT</t>
  </si>
  <si>
    <t>AR9710</t>
  </si>
  <si>
    <t>CUMBRIA, NORTHUMBERLAND &amp; TYNE&amp;WEAR</t>
  </si>
  <si>
    <t>AR9714</t>
  </si>
  <si>
    <t>Houghton PCC cafÃ© - BU</t>
  </si>
  <si>
    <t>AR9730</t>
  </si>
  <si>
    <t>GREATER MANCHESTER</t>
  </si>
  <si>
    <t>AR9740</t>
  </si>
  <si>
    <t>LANCASHIRE</t>
  </si>
  <si>
    <t>AR9744</t>
  </si>
  <si>
    <t>Accrington Victoria Hospital - BU</t>
  </si>
  <si>
    <t>AR9753</t>
  </si>
  <si>
    <t>FM - NORTH ENGLAND</t>
  </si>
  <si>
    <t>AR9755</t>
  </si>
  <si>
    <t>FM - CENTRAL</t>
  </si>
  <si>
    <t>AR9760</t>
  </si>
  <si>
    <t>NORTH YORKSHIRE &amp; THE HUMBER</t>
  </si>
  <si>
    <t>AR9800</t>
  </si>
  <si>
    <t>BIRMINGHAM &amp; THE BLACK COUNTRY</t>
  </si>
  <si>
    <t>AR9810</t>
  </si>
  <si>
    <t>DERBYSHIRE &amp; NOTTINGHAMSHIRE</t>
  </si>
  <si>
    <t>AR9830</t>
  </si>
  <si>
    <t>ESSEX</t>
  </si>
  <si>
    <t>AR9831</t>
  </si>
  <si>
    <t>ESSEX - R</t>
  </si>
  <si>
    <t>AR9841</t>
  </si>
  <si>
    <t>HERTFORDSHIRE &amp; SOUTH MIDLANDS -R</t>
  </si>
  <si>
    <t>AR9860</t>
  </si>
  <si>
    <t>SHROPSHIRE &amp; STAFFORDSHIRE</t>
  </si>
  <si>
    <t>AR9877</t>
  </si>
  <si>
    <t>MGTF - BU - YORKSHIRE</t>
  </si>
  <si>
    <t>AR9889</t>
  </si>
  <si>
    <t>MGTF - BU - WEST (SOUTH)</t>
  </si>
  <si>
    <t>AR9911</t>
  </si>
  <si>
    <t>BRSTL,N SMRSET,SMRSET,S GLSTRSHR -R</t>
  </si>
  <si>
    <t>AR9913</t>
  </si>
  <si>
    <t>FM - NORTH WEST LONDON - CLEANING</t>
  </si>
  <si>
    <t>AR9946</t>
  </si>
  <si>
    <t>Management costs Surrey Estates &amp; Facilities - SERV</t>
  </si>
  <si>
    <t>AR9956</t>
  </si>
  <si>
    <t>FM - EAST MIDLANDS - BUILD &amp; ENG</t>
  </si>
  <si>
    <t>AR9957</t>
  </si>
  <si>
    <t>FM - NORTH ENGLAND - BUILD &amp; ENG</t>
  </si>
  <si>
    <t>AR9958</t>
  </si>
  <si>
    <t>FM - YORKSHIRE - BUILD &amp; ENG</t>
  </si>
  <si>
    <t>AR9959</t>
  </si>
  <si>
    <t>FM - CENTRAL - BUILD &amp; ENG</t>
  </si>
  <si>
    <t>AR9968</t>
  </si>
  <si>
    <t>FM - WEST (NORTH) - BUILD &amp; ENG</t>
  </si>
  <si>
    <t>AR9972</t>
  </si>
  <si>
    <t>St Marys Community Health Campus AR8976 - BU</t>
  </si>
  <si>
    <t>AR9974</t>
  </si>
  <si>
    <t>Hythe Hospital/Medical Centre AR9076 - BU</t>
  </si>
  <si>
    <t>AR9976</t>
  </si>
  <si>
    <t>Prior Year Costs</t>
  </si>
  <si>
    <t>AR9978</t>
  </si>
  <si>
    <t>FM - EAST OF ENGLAND - BUILD &amp; ENG</t>
  </si>
  <si>
    <t>AR9979</t>
  </si>
  <si>
    <t>FM - NORTH WEST LONDON - BUILD &amp; ENG</t>
  </si>
  <si>
    <t>AR9980</t>
  </si>
  <si>
    <t>FM - NORTH CENTRAL AND EASTERN LONDON - BUILD &amp; ENG</t>
  </si>
  <si>
    <t>AR9981</t>
  </si>
  <si>
    <t>FM - SOUTH LONDON - BUILD &amp; ENG</t>
  </si>
  <si>
    <t>AR9982</t>
  </si>
  <si>
    <t>FM - WEST (SOUTH) - BUILD &amp; ENG</t>
  </si>
  <si>
    <t>AR9984</t>
  </si>
  <si>
    <t>FM - SOUTH (SOUTH) - BUILD &amp; ENG</t>
  </si>
  <si>
    <t>AR9985</t>
  </si>
  <si>
    <t>FM - EAST (SOUTH) - BUILD &amp; ENG</t>
  </si>
  <si>
    <t>Clinical (tonnes)</t>
  </si>
  <si>
    <t>Domestic (tonnes)</t>
  </si>
  <si>
    <t>Hazardous (tonnes)</t>
  </si>
  <si>
    <t>Recycling (tonnes)</t>
  </si>
  <si>
    <t>Confidential (tonnes)</t>
  </si>
  <si>
    <t>Name</t>
  </si>
  <si>
    <t>2013/14</t>
  </si>
  <si>
    <t>2014/15</t>
  </si>
  <si>
    <t>Lyng Centre for Health and Social Care</t>
  </si>
  <si>
    <t>B70 7AW</t>
  </si>
  <si>
    <t>Skegness Health Clinic</t>
  </si>
  <si>
    <t>PE25 2BX</t>
  </si>
  <si>
    <t>CSU</t>
  </si>
  <si>
    <t>NHS Arden CSU</t>
  </si>
  <si>
    <t>Column1</t>
  </si>
  <si>
    <t>NHSE Corporate</t>
  </si>
  <si>
    <t>NHS England (Corporate)</t>
  </si>
  <si>
    <t>Car Park</t>
  </si>
  <si>
    <t>NHS Central Southern CSU</t>
  </si>
  <si>
    <t>Central Midlands Commisioning Support Unit</t>
  </si>
  <si>
    <t>NHS South West CSU</t>
  </si>
  <si>
    <t>South West Commissioning Support Unit</t>
  </si>
  <si>
    <t>Cheshire &amp; Merseyside CSU</t>
  </si>
  <si>
    <t>NHS North of England CSU</t>
  </si>
  <si>
    <t>NHS Greater East Midlands CSU</t>
  </si>
  <si>
    <t>NHS Anglia Commissioning Support Unit</t>
  </si>
  <si>
    <t>Central Eastern Commisioning Support Unit</t>
  </si>
  <si>
    <t>Greater Manchester CSU</t>
  </si>
  <si>
    <t>NHS Greater Manchester CSU</t>
  </si>
  <si>
    <t>Greater Manchester CSU 12 hot desks provided by CCG on Second floor North</t>
  </si>
  <si>
    <t>GEM CSU</t>
  </si>
  <si>
    <t>Kent &amp; Medway Commissioning Support Unit</t>
  </si>
  <si>
    <t>Staffordshire &amp; Lancashire CSU</t>
  </si>
  <si>
    <t>Lancashire CSU</t>
  </si>
  <si>
    <t>NHS North &amp; East London CSU</t>
  </si>
  <si>
    <t>NHS North Yorkshire &amp; Humberside CSU</t>
  </si>
  <si>
    <t>North Yorkshire and Humber Commissioning Support Unit</t>
  </si>
  <si>
    <t>Staffordshire and Lancashire CSU</t>
  </si>
  <si>
    <t>Staffordshire and Lancashire Commissioning Support Unit</t>
  </si>
  <si>
    <t>South London CSU</t>
  </si>
  <si>
    <t>NHS West &amp; South Yorkshire &amp; Bassetlaw CSU</t>
  </si>
  <si>
    <t>West &amp; South Yorkshire &amp; Bassetlaw Commissioning Support Unit</t>
  </si>
  <si>
    <t>KMCS CSU</t>
  </si>
  <si>
    <t>South CSU</t>
  </si>
  <si>
    <t>NHS South London CSU</t>
  </si>
  <si>
    <t>South London Commissioning Support Unit</t>
  </si>
  <si>
    <t>Central Southern Commissioning Support Unit</t>
  </si>
  <si>
    <t>NHS South CSU</t>
  </si>
  <si>
    <t>Commissioning Support Unit (South)</t>
  </si>
  <si>
    <t>West, South Yorkshire and Bassetlaw Commisioning Support Unit</t>
  </si>
  <si>
    <t>Strategic Projects Team (part of Greater East Midlands CSU)</t>
  </si>
  <si>
    <t>South East CSU</t>
  </si>
  <si>
    <t>Embedded Occupancy</t>
  </si>
  <si>
    <t>TOTAL</t>
  </si>
  <si>
    <t>Cost (£)</t>
  </si>
  <si>
    <t>Use (kWh)</t>
  </si>
  <si>
    <r>
      <t>Use (m</t>
    </r>
    <r>
      <rPr>
        <vertAlign val="superscript"/>
        <sz val="11"/>
        <color indexed="9"/>
        <rFont val="Calibri"/>
        <family val="2"/>
      </rPr>
      <t>3</t>
    </r>
    <r>
      <rPr>
        <sz val="11"/>
        <color indexed="9"/>
        <rFont val="Calibri"/>
        <family val="2"/>
      </rPr>
      <t>)</t>
    </r>
  </si>
  <si>
    <t>Use (tn)</t>
  </si>
  <si>
    <t>Consumption Figures - Actual Values (Whole Building)</t>
  </si>
  <si>
    <t>Consumption Figures - Estimated (Whole Building)</t>
  </si>
  <si>
    <t>Cost Information - Actual Costs (Whole Building)</t>
  </si>
  <si>
    <t>Waste Information - Cost &amp; Use (Whole Building)</t>
  </si>
  <si>
    <t>Jubilee House (West Midlands)</t>
  </si>
  <si>
    <t>Jubilee House (North)</t>
  </si>
  <si>
    <t>Jubilee House (South)</t>
  </si>
  <si>
    <t>White Rose House (Doncaster)</t>
  </si>
  <si>
    <t>White Rose House (Wakefield)</t>
  </si>
  <si>
    <t>PCSS</t>
  </si>
  <si>
    <t>Primary Care Support Service</t>
  </si>
  <si>
    <t>Utilities &amp; Waste Data Report</t>
  </si>
  <si>
    <t xml:space="preserve">Caveats </t>
  </si>
  <si>
    <r>
      <rPr>
        <b/>
        <sz val="11"/>
        <color theme="1"/>
        <rFont val="Calibri"/>
        <family val="2"/>
        <scheme val="minor"/>
      </rPr>
      <t>Finance information</t>
    </r>
    <r>
      <rPr>
        <sz val="11"/>
        <color theme="1"/>
        <rFont val="Calibri"/>
        <family val="2"/>
        <scheme val="minor"/>
      </rPr>
      <t xml:space="preserve">
The financial information included in this report is provided on the understanding that it is based on the information available at the time of the report’s release.</t>
    </r>
  </si>
  <si>
    <t>NHS Property Services Limited, Skipton House, London, SE1 6LH, Registered in England &amp; Wales No: 07888110</t>
  </si>
  <si>
    <t>Building Properties</t>
  </si>
  <si>
    <t>Waste</t>
  </si>
  <si>
    <r>
      <t xml:space="preserve">Leasehold Properties
</t>
    </r>
    <r>
      <rPr>
        <sz val="11"/>
        <color theme="1"/>
        <rFont val="Calibri"/>
        <family val="2"/>
        <scheme val="minor"/>
      </rPr>
      <t>Please note that where NHS Property Services do not own the building, but rather hold a lease with a Superior Landlord, information on both finance and consumption may be part of a larger superior service charge. NHS Property Services has, and continues to make all reasonable efforts to acquire the full breakdown, but this may not be available at the time of the report's release</t>
    </r>
  </si>
  <si>
    <t>Under Review</t>
  </si>
  <si>
    <t>Consumption &amp; Cost Figures (Whole Building)</t>
  </si>
  <si>
    <t>Category</t>
  </si>
  <si>
    <t>Description</t>
  </si>
  <si>
    <t>Units</t>
  </si>
  <si>
    <t>Scope</t>
  </si>
  <si>
    <t>2015/16</t>
  </si>
  <si>
    <t>Comments</t>
  </si>
  <si>
    <t>ENERGY</t>
  </si>
  <si>
    <t>Electricity generated</t>
  </si>
  <si>
    <t>Electricity: UK</t>
  </si>
  <si>
    <t>kWh</t>
  </si>
  <si>
    <t>T&amp;D- UK electricity</t>
  </si>
  <si>
    <t>WTT- UK electricity (generation)</t>
  </si>
  <si>
    <t>WTT- UK electricity (T&amp;D)</t>
  </si>
  <si>
    <t>Electricity from Grid</t>
  </si>
  <si>
    <t>Total:</t>
  </si>
  <si>
    <t>N/A</t>
  </si>
  <si>
    <t>kWH</t>
  </si>
  <si>
    <t>No difference between district and non-district</t>
  </si>
  <si>
    <t>Gaseous fuels</t>
  </si>
  <si>
    <t>Natural gas</t>
  </si>
  <si>
    <t>Assumed natural gas, gross figure</t>
  </si>
  <si>
    <t>WTT - gaseous fuels</t>
  </si>
  <si>
    <t>Assumed natural gas</t>
  </si>
  <si>
    <t>WATER</t>
  </si>
  <si>
    <t>Water supply</t>
  </si>
  <si>
    <t>cubic metres</t>
  </si>
  <si>
    <t>Mains Water</t>
  </si>
  <si>
    <t>Water treatment</t>
  </si>
  <si>
    <t>Drains waste water</t>
  </si>
  <si>
    <t>WASTE</t>
  </si>
  <si>
    <t>Disposal Method</t>
  </si>
  <si>
    <t>Closed Loop or Open Loop</t>
  </si>
  <si>
    <t>tonnes</t>
  </si>
  <si>
    <t>This is the most common factor for closed or open loop as a method of disposal</t>
  </si>
  <si>
    <t>Waste Recycling</t>
  </si>
  <si>
    <t>Most common factor:</t>
  </si>
  <si>
    <t>This method does not fit well for recycling (open or closed) of construction materials</t>
  </si>
  <si>
    <t>This is the most common factor for reuse as a method of disposal</t>
  </si>
  <si>
    <t>Preparing for re-use</t>
  </si>
  <si>
    <t>Aggregates, average construction, asphalt and wood hold different values for reuse</t>
  </si>
  <si>
    <t>Refuse</t>
  </si>
  <si>
    <t>Organic: food and drink waste</t>
  </si>
  <si>
    <t>Organic: garden waste</t>
  </si>
  <si>
    <t>Organic: mixed food and garden waste</t>
  </si>
  <si>
    <t>Composted</t>
  </si>
  <si>
    <t>Average:</t>
  </si>
  <si>
    <t>Excluding wood - value of 21 instead of 6</t>
  </si>
  <si>
    <t>Electrical Items</t>
  </si>
  <si>
    <t>WEEE - fridges and freezers</t>
  </si>
  <si>
    <t>WEEE - large</t>
  </si>
  <si>
    <t>WEEE - mixed</t>
  </si>
  <si>
    <t>WEEE - small</t>
  </si>
  <si>
    <t>WEEE</t>
  </si>
  <si>
    <t>Assumed not landfill disposal method</t>
  </si>
  <si>
    <t>Combustion</t>
  </si>
  <si>
    <t>This is the most common factor for combustion as a method of disposal</t>
  </si>
  <si>
    <t>High Temperature Disposal Waste with Energy Recovery</t>
  </si>
  <si>
    <t>Metal: scrap metal and Metal: steel cans have different values</t>
  </si>
  <si>
    <t>High Temperature Disposal Waste</t>
  </si>
  <si>
    <t>Combustion without energy recovery</t>
  </si>
  <si>
    <t>No clear DEFRA link, therefore similar methods figures used e.g.</t>
  </si>
  <si>
    <t>Non Burn Treatment Disposal Waste</t>
  </si>
  <si>
    <t>Combustion, anaerobic digestion</t>
  </si>
  <si>
    <t>Municipal waste</t>
  </si>
  <si>
    <t>Assuming a ratio of:</t>
  </si>
  <si>
    <t>Commercial and industrial waste</t>
  </si>
  <si>
    <t>Landfill disposal waste</t>
  </si>
  <si>
    <t>Ratio weighted average</t>
  </si>
  <si>
    <t>Consumption</t>
  </si>
  <si>
    <t>Cost</t>
  </si>
  <si>
    <t>Estimated Avg. Prices per unit:</t>
  </si>
  <si>
    <t>electricity</t>
  </si>
  <si>
    <t>Waste Information - Volume &amp; Cost (Whole Building)</t>
  </si>
  <si>
    <t>Clinical</t>
  </si>
  <si>
    <t>Domestic</t>
  </si>
  <si>
    <t>Confidential</t>
  </si>
  <si>
    <t>(Carbon conversion factors from SDU reporting template Jan 2016)</t>
  </si>
  <si>
    <t>Use</t>
  </si>
  <si>
    <t>£</t>
  </si>
  <si>
    <t>Carbon Emissions</t>
  </si>
  <si>
    <r>
      <t>kgCO</t>
    </r>
    <r>
      <rPr>
        <vertAlign val="subscript"/>
        <sz val="11"/>
        <color theme="1"/>
        <rFont val="Calibri"/>
        <family val="2"/>
        <scheme val="minor"/>
      </rPr>
      <t>2</t>
    </r>
  </si>
  <si>
    <r>
      <t>m</t>
    </r>
    <r>
      <rPr>
        <vertAlign val="superscript"/>
        <sz val="11"/>
        <color theme="1"/>
        <rFont val="Calibri"/>
        <family val="2"/>
        <scheme val="minor"/>
      </rPr>
      <t>3</t>
    </r>
  </si>
  <si>
    <t>t</t>
  </si>
  <si>
    <t>Hazardous</t>
  </si>
  <si>
    <r>
      <rPr>
        <b/>
        <sz val="11"/>
        <color theme="1"/>
        <rFont val="Calibri"/>
        <family val="2"/>
        <scheme val="minor"/>
      </rPr>
      <t>Water Consumption Calculation</t>
    </r>
    <r>
      <rPr>
        <sz val="11"/>
        <color theme="1"/>
        <rFont val="Calibri"/>
        <family val="2"/>
        <scheme val="minor"/>
      </rPr>
      <t xml:space="preserve">
Most sites where we hold the water supply contracts have billing information captured in our system. These figures will still be subject to periods where the meter hasn't been read and the supplier has used an estimate. Where we have charges from a Superior Landlord the water consumption has been calculated from costs on the basis of using a conversion factor of £3.78 per cubic meter. This conversion figure is an average of the invoices that are invoiced directly to us by the water suppliers.</t>
    </r>
  </si>
  <si>
    <t>(15/16)</t>
  </si>
  <si>
    <t>gas</t>
  </si>
  <si>
    <t>water</t>
  </si>
  <si>
    <r>
      <rPr>
        <b/>
        <sz val="11"/>
        <rFont val="Calibri"/>
        <family val="2"/>
        <scheme val="minor"/>
      </rPr>
      <t>Electric Consumption Calculation</t>
    </r>
    <r>
      <rPr>
        <sz val="11"/>
        <rFont val="Calibri"/>
        <family val="2"/>
        <scheme val="minor"/>
      </rPr>
      <t xml:space="preserve">
Where no details are available for electric consumption the consumption figures have been estimated using a conversion factor of 12.38 pence per unit. This conversion figure is based on an average taken from a representative sample (NHH supplies) of NHS PS properties, and includes all charges, not just the unit rate per kWh.</t>
    </r>
  </si>
  <si>
    <t>cost centre filter</t>
  </si>
  <si>
    <t>cost centre lookup from tenant</t>
  </si>
  <si>
    <t>Occupancy %</t>
  </si>
  <si>
    <r>
      <rPr>
        <b/>
        <sz val="11"/>
        <rFont val="Calibri"/>
        <family val="2"/>
        <scheme val="minor"/>
      </rPr>
      <t>Gas Consumption Calculation</t>
    </r>
    <r>
      <rPr>
        <sz val="11"/>
        <rFont val="Calibri"/>
        <family val="2"/>
        <scheme val="minor"/>
      </rPr>
      <t xml:space="preserve">
Where no details are available for gas consumption the consumption figures have been estimated using a conversion factor of 3.244 pence per KWh. This conversion figure is based on an average taken from a representative sample of NHS PS properties, and includes all charges, not just the unit rate per kWh.
The information at the top of the summary sheet for each building provides an indication of the completeness of the billed data. Due to the seasonal nature of gas consumption there has only been minimal projection of the data to fill gaps, so this gives an indication of the margin of error.</t>
    </r>
  </si>
  <si>
    <r>
      <rPr>
        <b/>
        <sz val="11"/>
        <color theme="1"/>
        <rFont val="Calibri"/>
        <family val="2"/>
        <scheme val="minor"/>
      </rPr>
      <t>Waste Weight</t>
    </r>
    <r>
      <rPr>
        <sz val="11"/>
        <color theme="1"/>
        <rFont val="Calibri"/>
        <family val="2"/>
        <scheme val="minor"/>
      </rPr>
      <t xml:space="preserve">
The weight of all waste categories has been estimated based on cost using an appropriate conversion factor. The waste is broken down in our system into categories of: Clinical / Domestic / Hazardous / Recycling / Confidential.
Please note that as the waste data was not broken down into categories for 2013/14, this breakdown has been estimated based on 2014/15 information.</t>
    </r>
  </si>
  <si>
    <t>Elec source</t>
  </si>
  <si>
    <t>Gas source</t>
  </si>
  <si>
    <t>Water source</t>
  </si>
  <si>
    <t>Elec Consumption</t>
  </si>
  <si>
    <t>Elec Cost</t>
  </si>
  <si>
    <t>Gas consumption</t>
  </si>
  <si>
    <t>Gas cost</t>
  </si>
  <si>
    <t>Water consumption 13</t>
  </si>
  <si>
    <t>Water consumption 14</t>
  </si>
  <si>
    <t>Water consumption 15</t>
  </si>
  <si>
    <t>Water cost 13</t>
  </si>
  <si>
    <t>Water cost 14</t>
  </si>
  <si>
    <t>Water cost 15</t>
  </si>
  <si>
    <t>Clinical waste vol 13</t>
  </si>
  <si>
    <t>Clinical waste vol 14</t>
  </si>
  <si>
    <t>Clinical waste vol 15</t>
  </si>
  <si>
    <t>Domestic waste vol 13</t>
  </si>
  <si>
    <t>Domestic waste vol 14</t>
  </si>
  <si>
    <t>Domestic waste vol 15</t>
  </si>
  <si>
    <t>Hazardous waste vol 13</t>
  </si>
  <si>
    <t>Hazardous waste vol 14</t>
  </si>
  <si>
    <t>Hazardous waste vol 15</t>
  </si>
  <si>
    <t>Recycling vol 13</t>
  </si>
  <si>
    <t>Recycling vol 14</t>
  </si>
  <si>
    <t>Recycling vol 15</t>
  </si>
  <si>
    <t>Confidential waste vol 13</t>
  </si>
  <si>
    <t>Confidential waste vol 14</t>
  </si>
  <si>
    <t>Confidential waste vol 15</t>
  </si>
  <si>
    <t>Clinical waste cost 13</t>
  </si>
  <si>
    <t>Clinical waste cost 14</t>
  </si>
  <si>
    <t>Clinical waste cost 15</t>
  </si>
  <si>
    <t>Domestic waste cost 13</t>
  </si>
  <si>
    <t>Domestic waste cost 14</t>
  </si>
  <si>
    <t>Domestic waste cost 15</t>
  </si>
  <si>
    <t>Hazardous waste cost 13</t>
  </si>
  <si>
    <t>Hazardous waste cost 14</t>
  </si>
  <si>
    <t>Hazardous waste cost 15</t>
  </si>
  <si>
    <t>Recycling cost 13</t>
  </si>
  <si>
    <t>Recycling cost 14</t>
  </si>
  <si>
    <t>Recycling cost 15</t>
  </si>
  <si>
    <t>Confidential waste cost 13</t>
  </si>
  <si>
    <t>Confidential waste cost 14</t>
  </si>
  <si>
    <t>Confidential waste cost 15</t>
  </si>
  <si>
    <t>Values are used from suppliers' bills where these are available. Where this information has not been available at the time of this report, reasonable estimates have been used in their place.
The estimates are calculated from financial information, and the conversion factor is noted below the table.</t>
  </si>
  <si>
    <t>Volume (tonnes)</t>
  </si>
  <si>
    <t>Electricity (kWh)</t>
  </si>
  <si>
    <t>Gas (kWh)</t>
  </si>
  <si>
    <r>
      <t>Water (m</t>
    </r>
    <r>
      <rPr>
        <b/>
        <vertAlign val="superscript"/>
        <sz val="11"/>
        <color theme="1"/>
        <rFont val="Calibri"/>
        <family val="2"/>
        <scheme val="minor"/>
      </rPr>
      <t>3</t>
    </r>
    <r>
      <rPr>
        <b/>
        <sz val="11"/>
        <color theme="1"/>
        <rFont val="Calibri"/>
        <family val="2"/>
        <scheme val="minor"/>
      </rPr>
      <t>)</t>
    </r>
  </si>
  <si>
    <t>Carbon Emissions*</t>
  </si>
  <si>
    <t>* waste carbon emissions may differ depending on exact disposal method</t>
  </si>
  <si>
    <r>
      <rPr>
        <sz val="11"/>
        <rFont val="Calibri"/>
        <family val="2"/>
        <scheme val="minor"/>
      </rPr>
      <t>Please find attached a Utility Report for your organisation. This report covers 2015/16 using the most recent 12 months in our system at the time of reporting.
Data for waste and water for the financial years 2013/14 and 2014/15 have been included as there is a consistent source covering all three reporting years. Historic electricity and gas figures have been excluded as the data would be using different assumptions between years and render them incomparable. This data will be available shortly once our utility bureau has been populated with the historic data and validated it.</t>
    </r>
    <r>
      <rPr>
        <sz val="11"/>
        <color theme="1"/>
        <rFont val="Calibri"/>
        <family val="2"/>
        <scheme val="minor"/>
      </rPr>
      <t xml:space="preserve">
In some buildings we have used a conversion factor to estimate consumption from the cost figure where consumption data has not been readily available, these factors are explained below. Your report will clearly show where consumption figures have been estimated along with the conversion factor used.
Where your organisation occupies only part of the building the report has calculated the figures based on your organisations percentage of occupancy. This occupancy percentage we have on record is shown on the report. (To edit this for the data on the site summary sheet, change the quantity in the relevant field in the 'Site listing' sheet.)</t>
    </r>
  </si>
  <si>
    <t>Whole Building Data</t>
  </si>
  <si>
    <t>From billed data</t>
  </si>
  <si>
    <t>-</t>
  </si>
  <si>
    <t>NHS BARNSLEY CCG</t>
  </si>
  <si>
    <t>Data not available</t>
  </si>
  <si>
    <t>Using billed data (full)</t>
  </si>
  <si>
    <t>Occupancy not held on record (whole site data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</si>
</sst>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44" formatCode="_-&quot;£&quot;* #,##0.00_-;\-&quot;£&quot;* #,##0.00_-;_-&quot;£&quot;* &quot;-&quot;??_-;_-@_-"/>
    <numFmt numFmtId="43" formatCode="_-* #,##0.00_-;\-* #,##0.00_-;_-* &quot;-&quot;??_-;_-@_-"/>
    <numFmt numFmtId="164" formatCode="_(0.00_);\-_(0.00_);_(0.00_)"/>
    <numFmt numFmtId="165" formatCode="#,##0.00000000000"/>
    <numFmt numFmtId="166" formatCode="#,##0.000_ ;\-#,##0.000\ "/>
    <numFmt numFmtId="167" formatCode="#,##0.00_ ;[Red]\-#,##0.00\ "/>
    <numFmt numFmtId="168" formatCode="??0.0?????"/>
    <numFmt numFmtId="169" formatCode="&quot;£&quot;#,##0"/>
    <numFmt numFmtId="170" formatCode="#,##0_ ;\-#,##0\ "/>
    <numFmt numFmtId="171" formatCode="#,##0.000"/>
  </numFmts>
  <fonts count="8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Verdana"/>
      <family val="2"/>
    </font>
    <font>
      <b/>
      <sz val="11"/>
      <color theme="0"/>
      <name val="Book Antiqua"/>
      <family val="1"/>
    </font>
    <font>
      <b/>
      <sz val="9"/>
      <color indexed="81"/>
      <name val="Tahoma"/>
      <family val="2"/>
    </font>
    <font>
      <sz val="9"/>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sz val="9"/>
      <color rgb="FF000000"/>
      <name val="Tahoma"/>
      <family val="2"/>
    </font>
    <font>
      <b/>
      <sz val="11"/>
      <color indexed="52"/>
      <name val="Calibri"/>
      <family val="2"/>
    </font>
    <font>
      <b/>
      <sz val="11"/>
      <color indexed="9"/>
      <name val="Calibri"/>
      <family val="2"/>
    </font>
    <font>
      <sz val="10"/>
      <color indexed="8"/>
      <name val="Arial"/>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8"/>
      <color rgb="FF0000FF"/>
      <name val="Calibri"/>
      <family val="2"/>
      <scheme val="minor"/>
    </font>
    <font>
      <u/>
      <sz val="11"/>
      <color theme="10"/>
      <name val="Calibri"/>
      <family val="2"/>
      <scheme val="minor"/>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b/>
      <sz val="10"/>
      <color theme="0"/>
      <name val="Calibri"/>
      <family val="2"/>
      <scheme val="minor"/>
    </font>
    <font>
      <i/>
      <sz val="11"/>
      <color theme="1"/>
      <name val="Calibri"/>
      <family val="2"/>
      <scheme val="minor"/>
    </font>
    <font>
      <b/>
      <sz val="20"/>
      <color theme="1"/>
      <name val="Calibri"/>
      <family val="2"/>
      <scheme val="minor"/>
    </font>
    <font>
      <sz val="10"/>
      <color rgb="FF006100"/>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u/>
      <sz val="16"/>
      <color theme="1"/>
      <name val="Calibri"/>
      <family val="2"/>
      <scheme val="minor"/>
    </font>
    <font>
      <i/>
      <vertAlign val="superscript"/>
      <sz val="11"/>
      <color theme="1"/>
      <name val="Calibri"/>
      <family val="2"/>
      <scheme val="minor"/>
    </font>
    <font>
      <b/>
      <vertAlign val="superscript"/>
      <sz val="11"/>
      <color theme="1"/>
      <name val="Calibri"/>
      <family val="2"/>
      <scheme val="minor"/>
    </font>
    <font>
      <u/>
      <sz val="14"/>
      <color theme="1"/>
      <name val="Calibri"/>
      <family val="2"/>
      <scheme val="minor"/>
    </font>
    <font>
      <sz val="24"/>
      <color indexed="9"/>
      <name val="Calibri"/>
      <family val="2"/>
    </font>
    <font>
      <sz val="18"/>
      <color theme="1"/>
      <name val="Calibri"/>
      <family val="2"/>
      <scheme val="minor"/>
    </font>
    <font>
      <b/>
      <u/>
      <sz val="12"/>
      <color indexed="9"/>
      <name val="Calibri"/>
      <family val="2"/>
    </font>
    <font>
      <vertAlign val="superscript"/>
      <sz val="11"/>
      <color indexed="9"/>
      <name val="Calibri"/>
      <family val="2"/>
    </font>
    <font>
      <sz val="11"/>
      <color theme="1"/>
      <name val="Calibri"/>
      <family val="2"/>
    </font>
    <font>
      <b/>
      <sz val="18"/>
      <color rgb="FF00AAA6"/>
      <name val="Calibri"/>
      <family val="2"/>
      <scheme val="minor"/>
    </font>
    <font>
      <b/>
      <sz val="11"/>
      <color rgb="FF00AAA6"/>
      <name val="Calibri"/>
      <family val="2"/>
      <scheme val="minor"/>
    </font>
    <font>
      <b/>
      <u val="double"/>
      <sz val="14"/>
      <color theme="1"/>
      <name val="Calibri"/>
      <family val="2"/>
      <scheme val="minor"/>
    </font>
    <font>
      <sz val="8"/>
      <color theme="1"/>
      <name val="Arial"/>
      <family val="2"/>
    </font>
    <font>
      <sz val="11"/>
      <color theme="1"/>
      <name val="Arial"/>
      <family val="2"/>
    </font>
    <font>
      <vertAlign val="subscript"/>
      <sz val="11"/>
      <color theme="1"/>
      <name val="Calibri"/>
      <family val="2"/>
      <scheme val="minor"/>
    </font>
    <font>
      <sz val="11"/>
      <color rgb="FF002060"/>
      <name val="Calibri"/>
      <family val="2"/>
      <scheme val="minor"/>
    </font>
    <font>
      <vertAlign val="superscript"/>
      <sz val="11"/>
      <color theme="1"/>
      <name val="Calibri"/>
      <family val="2"/>
      <scheme val="minor"/>
    </font>
    <font>
      <sz val="11"/>
      <name val="Calibri"/>
      <family val="2"/>
    </font>
    <font>
      <sz val="11"/>
      <name val="Calibri"/>
      <family val="2"/>
      <scheme val="minor"/>
    </font>
    <font>
      <i/>
      <sz val="11"/>
      <name val="Calibri"/>
      <family val="2"/>
      <scheme val="minor"/>
    </font>
    <font>
      <b/>
      <sz val="20"/>
      <color rgb="FF00AAA6"/>
      <name val="Calibri"/>
      <family val="2"/>
      <scheme val="minor"/>
    </font>
    <font>
      <i/>
      <sz val="11"/>
      <color rgb="FFFF0000"/>
      <name val="Calibri"/>
      <family val="2"/>
      <scheme val="minor"/>
    </font>
    <font>
      <sz val="9"/>
      <color theme="0"/>
      <name val="Verdana"/>
      <family val="2"/>
    </font>
    <font>
      <b/>
      <sz val="11"/>
      <name val="Calibri"/>
      <family val="2"/>
      <scheme val="minor"/>
    </font>
    <font>
      <b/>
      <sz val="11"/>
      <color rgb="FF666666"/>
      <name val="Courier New"/>
      <family val="3"/>
    </font>
    <font>
      <sz val="11"/>
      <color rgb="FF000000"/>
      <name val="Segoe UI"/>
      <family val="2"/>
    </font>
    <font>
      <b/>
      <sz val="9"/>
      <color rgb="FF000000"/>
      <name val="Arial"/>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D9E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FFFF"/>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rgb="FF00AAA6"/>
        <bgColor indexed="64"/>
      </patternFill>
    </fill>
    <fill>
      <patternFill patternType="solid">
        <fgColor rgb="FFD9D9D9"/>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7999816888943144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24994659260841701"/>
      </top>
      <bottom/>
      <diagonal/>
    </border>
    <border>
      <left/>
      <right/>
      <top style="thin">
        <color theme="4" tint="-0.2499465926084170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top style="thin">
        <color theme="4" tint="-0.2499465926084170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thin">
        <color rgb="FF053D5F"/>
      </bottom>
      <diagonal/>
    </border>
    <border>
      <left/>
      <right/>
      <top style="medium">
        <color indexed="64"/>
      </top>
      <bottom style="thin">
        <color rgb="FF053D5F"/>
      </bottom>
      <diagonal/>
    </border>
    <border>
      <left/>
      <right style="medium">
        <color indexed="64"/>
      </right>
      <top style="medium">
        <color indexed="64"/>
      </top>
      <bottom style="thin">
        <color rgb="FF053D5F"/>
      </bottom>
      <diagonal/>
    </border>
    <border>
      <left style="medium">
        <color indexed="64"/>
      </left>
      <right/>
      <top style="thin">
        <color rgb="FF053D5F"/>
      </top>
      <bottom style="thin">
        <color rgb="FF053D5F"/>
      </bottom>
      <diagonal/>
    </border>
    <border>
      <left style="medium">
        <color indexed="64"/>
      </left>
      <right style="medium">
        <color indexed="64"/>
      </right>
      <top style="thin">
        <color rgb="FF053D5F"/>
      </top>
      <bottom style="thin">
        <color rgb="FF053D5F"/>
      </bottom>
      <diagonal/>
    </border>
    <border>
      <left style="thin">
        <color rgb="FF053D5F"/>
      </left>
      <right style="thin">
        <color rgb="FF053D5F"/>
      </right>
      <top style="thin">
        <color rgb="FF053D5F"/>
      </top>
      <bottom style="thin">
        <color rgb="FF053D5F"/>
      </bottom>
      <diagonal/>
    </border>
    <border>
      <left style="medium">
        <color indexed="64"/>
      </left>
      <right style="medium">
        <color indexed="64"/>
      </right>
      <top/>
      <bottom/>
      <diagonal/>
    </border>
    <border>
      <left style="thin">
        <color rgb="FF053D5F"/>
      </left>
      <right/>
      <top style="thin">
        <color rgb="FF053D5F"/>
      </top>
      <bottom style="thin">
        <color rgb="FF053D5F"/>
      </bottom>
      <diagonal/>
    </border>
    <border>
      <left style="medium">
        <color indexed="64"/>
      </left>
      <right style="medium">
        <color indexed="64"/>
      </right>
      <top/>
      <bottom style="medium">
        <color indexed="64"/>
      </bottom>
      <diagonal/>
    </border>
    <border>
      <left style="medium">
        <color indexed="64"/>
      </left>
      <right/>
      <top style="thin">
        <color rgb="FF053D5F"/>
      </top>
      <bottom/>
      <diagonal/>
    </border>
    <border>
      <left style="medium">
        <color indexed="64"/>
      </left>
      <right/>
      <top/>
      <bottom style="thin">
        <color rgb="FF053D5F"/>
      </bottom>
      <diagonal/>
    </border>
    <border>
      <left style="thin">
        <color indexed="64"/>
      </left>
      <right style="thin">
        <color indexed="64"/>
      </right>
      <top style="thin">
        <color indexed="64"/>
      </top>
      <bottom style="medium">
        <color indexed="64"/>
      </bottom>
      <diagonal/>
    </border>
    <border>
      <left style="medium">
        <color rgb="FF00AAA6"/>
      </left>
      <right/>
      <top style="medium">
        <color rgb="FF00AAA6"/>
      </top>
      <bottom/>
      <diagonal/>
    </border>
    <border>
      <left/>
      <right/>
      <top style="medium">
        <color rgb="FF00AAA6"/>
      </top>
      <bottom/>
      <diagonal/>
    </border>
    <border>
      <left/>
      <right style="medium">
        <color rgb="FF00AAA6"/>
      </right>
      <top style="medium">
        <color rgb="FF00AAA6"/>
      </top>
      <bottom/>
      <diagonal/>
    </border>
    <border>
      <left style="medium">
        <color rgb="FF00AAA6"/>
      </left>
      <right/>
      <top/>
      <bottom/>
      <diagonal/>
    </border>
    <border>
      <left/>
      <right style="medium">
        <color rgb="FF00AAA6"/>
      </right>
      <top/>
      <bottom/>
      <diagonal/>
    </border>
    <border>
      <left style="medium">
        <color rgb="FF00AAA6"/>
      </left>
      <right/>
      <top/>
      <bottom style="medium">
        <color rgb="FF00AAA6"/>
      </bottom>
      <diagonal/>
    </border>
    <border>
      <left/>
      <right/>
      <top/>
      <bottom style="medium">
        <color rgb="FF00AAA6"/>
      </bottom>
      <diagonal/>
    </border>
    <border>
      <left/>
      <right style="medium">
        <color rgb="FF00AAA6"/>
      </right>
      <top/>
      <bottom style="medium">
        <color rgb="FF00AAA6"/>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s>
  <cellStyleXfs count="288">
    <xf numFmtId="0" fontId="0" fillId="0" borderId="0"/>
    <xf numFmtId="0" fontId="6" fillId="2" borderId="0" applyNumberFormat="0" applyBorder="0" applyAlignment="0" applyProtection="0"/>
    <xf numFmtId="0" fontId="18" fillId="0" borderId="0"/>
    <xf numFmtId="43" fontId="18" fillId="0" borderId="0" applyFont="0" applyFill="0" applyBorder="0" applyAlignment="0" applyProtection="0"/>
    <xf numFmtId="0" fontId="11" fillId="6" borderId="4" applyNumberFormat="0" applyAlignment="0" applyProtection="0"/>
    <xf numFmtId="0" fontId="6" fillId="2" borderId="0" applyNumberFormat="0" applyBorder="0" applyAlignment="0" applyProtection="0"/>
    <xf numFmtId="0" fontId="4" fillId="0" borderId="2" applyNumberFormat="0" applyFill="0" applyAlignment="0" applyProtection="0"/>
    <xf numFmtId="0" fontId="9" fillId="5" borderId="4" applyNumberFormat="0" applyAlignment="0" applyProtection="0"/>
    <xf numFmtId="0" fontId="1" fillId="0" borderId="0"/>
    <xf numFmtId="0" fontId="1" fillId="0" borderId="0"/>
    <xf numFmtId="0" fontId="10" fillId="6" borderId="5" applyNumberFormat="0" applyAlignment="0" applyProtection="0"/>
    <xf numFmtId="0" fontId="1" fillId="0" borderId="0"/>
    <xf numFmtId="43" fontId="1" fillId="0" borderId="0" applyFont="0" applyFill="0" applyBorder="0" applyAlignment="0" applyProtection="0"/>
    <xf numFmtId="0" fontId="22" fillId="0" borderId="0"/>
    <xf numFmtId="0" fontId="22" fillId="0" borderId="0"/>
    <xf numFmtId="0" fontId="22" fillId="0" borderId="0"/>
    <xf numFmtId="0" fontId="22" fillId="0" borderId="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5"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6" borderId="0" applyNumberFormat="0" applyBorder="0" applyAlignment="0" applyProtection="0"/>
    <xf numFmtId="0" fontId="1" fillId="18" borderId="0" applyNumberFormat="0" applyBorder="0" applyAlignment="0" applyProtection="0"/>
    <xf numFmtId="0" fontId="23"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7" borderId="0" applyNumberFormat="0" applyBorder="0" applyAlignment="0" applyProtection="0"/>
    <xf numFmtId="0" fontId="1" fillId="22" borderId="0" applyNumberFormat="0" applyBorder="0" applyAlignment="0" applyProtection="0"/>
    <xf numFmtId="0" fontId="23"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8" borderId="0" applyNumberFormat="0" applyBorder="0" applyAlignment="0" applyProtection="0"/>
    <xf numFmtId="0" fontId="1" fillId="26"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9"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23"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1" borderId="0" applyNumberFormat="0" applyBorder="0" applyAlignment="0" applyProtection="0"/>
    <xf numFmtId="0" fontId="1" fillId="15" borderId="0" applyNumberFormat="0" applyBorder="0" applyAlignment="0" applyProtection="0"/>
    <xf numFmtId="0" fontId="23"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2" borderId="0" applyNumberFormat="0" applyBorder="0" applyAlignment="0" applyProtection="0"/>
    <xf numFmtId="0" fontId="1" fillId="19"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7"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4" fillId="44" borderId="0" applyNumberFormat="0" applyBorder="0" applyAlignment="0" applyProtection="0"/>
    <xf numFmtId="0" fontId="17" fillId="12"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17" fillId="16"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17" fillId="20" borderId="0" applyNumberFormat="0" applyBorder="0" applyAlignment="0" applyProtection="0"/>
    <xf numFmtId="0" fontId="24" fillId="42" borderId="0" applyNumberFormat="0" applyBorder="0" applyAlignment="0" applyProtection="0"/>
    <xf numFmtId="0" fontId="24" fillId="45" borderId="0" applyNumberFormat="0" applyBorder="0" applyAlignment="0" applyProtection="0"/>
    <xf numFmtId="0" fontId="17" fillId="2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17" fillId="28"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7" fillId="32"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17" fillId="9"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17" fillId="13"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17" fillId="17"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17" fillId="21"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17" fillId="25" borderId="0" applyNumberFormat="0" applyBorder="0" applyAlignment="0" applyProtection="0"/>
    <xf numFmtId="0" fontId="24" fillId="46" borderId="0" applyNumberFormat="0" applyBorder="0" applyAlignment="0" applyProtection="0"/>
    <xf numFmtId="0" fontId="24" fillId="51" borderId="0" applyNumberFormat="0" applyBorder="0" applyAlignment="0" applyProtection="0"/>
    <xf numFmtId="0" fontId="17" fillId="29"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0" fontId="7" fillId="3" borderId="0" applyNumberFormat="0" applyBorder="0" applyAlignment="0" applyProtection="0"/>
    <xf numFmtId="0" fontId="25" fillId="35" borderId="0" applyNumberFormat="0" applyBorder="0" applyAlignment="0" applyProtection="0"/>
    <xf numFmtId="164" fontId="26" fillId="52" borderId="10">
      <alignment vertical="center"/>
    </xf>
    <xf numFmtId="0" fontId="11" fillId="6" borderId="4" applyNumberFormat="0" applyAlignment="0" applyProtection="0"/>
    <xf numFmtId="0" fontId="27" fillId="53" borderId="11" applyNumberFormat="0" applyAlignment="0" applyProtection="0"/>
    <xf numFmtId="0" fontId="28" fillId="54" borderId="12" applyNumberFormat="0" applyAlignment="0" applyProtection="0"/>
    <xf numFmtId="0" fontId="13" fillId="7" borderId="7" applyNumberFormat="0" applyAlignment="0" applyProtection="0"/>
    <xf numFmtId="0" fontId="28" fillId="54" borderId="12" applyNumberFormat="0" applyAlignment="0" applyProtection="0"/>
    <xf numFmtId="43" fontId="2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2" borderId="0" applyNumberFormat="0" applyBorder="0" applyAlignment="0" applyProtection="0"/>
    <xf numFmtId="0" fontId="32" fillId="36" borderId="0" applyNumberFormat="0" applyBorder="0" applyAlignment="0" applyProtection="0"/>
    <xf numFmtId="0" fontId="3" fillId="0" borderId="1"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4" fillId="0" borderId="2"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5" fillId="0" borderId="3"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xf numFmtId="0" fontId="9" fillId="5" borderId="4" applyNumberFormat="0" applyAlignment="0" applyProtection="0"/>
    <xf numFmtId="0" fontId="39" fillId="39" borderId="11" applyNumberFormat="0" applyAlignment="0" applyProtection="0"/>
    <xf numFmtId="38" fontId="40" fillId="0" borderId="0"/>
    <xf numFmtId="38" fontId="41" fillId="0" borderId="0"/>
    <xf numFmtId="38" fontId="42" fillId="0" borderId="0"/>
    <xf numFmtId="38" fontId="43" fillId="0" borderId="0"/>
    <xf numFmtId="0" fontId="44" fillId="0" borderId="0"/>
    <xf numFmtId="0" fontId="44" fillId="0" borderId="0"/>
    <xf numFmtId="0" fontId="45" fillId="0" borderId="16" applyNumberFormat="0" applyFill="0" applyAlignment="0" applyProtection="0"/>
    <xf numFmtId="0" fontId="12" fillId="0" borderId="6" applyNumberFormat="0" applyFill="0" applyAlignment="0" applyProtection="0"/>
    <xf numFmtId="0" fontId="45" fillId="0" borderId="16" applyNumberFormat="0" applyFill="0" applyAlignment="0" applyProtection="0"/>
    <xf numFmtId="0" fontId="46" fillId="55" borderId="0" applyNumberFormat="0" applyBorder="0" applyAlignment="0" applyProtection="0"/>
    <xf numFmtId="0" fontId="8" fillId="4" borderId="0" applyNumberFormat="0" applyBorder="0" applyAlignment="0" applyProtection="0"/>
    <xf numFmtId="0" fontId="46" fillId="55" borderId="0" applyNumberFormat="0" applyBorder="0" applyAlignment="0" applyProtection="0"/>
    <xf numFmtId="0" fontId="29" fillId="0" borderId="0" applyFill="0" applyProtection="0"/>
    <xf numFmtId="0" fontId="29" fillId="0" borderId="0" applyFill="0" applyProtection="0"/>
    <xf numFmtId="0" fontId="29" fillId="0" borderId="0" applyFill="0" applyProtection="0"/>
    <xf numFmtId="0" fontId="29" fillId="0" borderId="0" applyFill="0" applyProtection="0"/>
    <xf numFmtId="0" fontId="22" fillId="0" borderId="0"/>
    <xf numFmtId="0" fontId="29" fillId="0" borderId="0" applyFill="0" applyProtection="0"/>
    <xf numFmtId="0" fontId="22" fillId="0" borderId="0"/>
    <xf numFmtId="0" fontId="22" fillId="0" borderId="0"/>
    <xf numFmtId="0" fontId="22" fillId="0" borderId="0"/>
    <xf numFmtId="0" fontId="22" fillId="0" borderId="0"/>
    <xf numFmtId="0" fontId="22" fillId="0" borderId="0"/>
    <xf numFmtId="0" fontId="29" fillId="0" borderId="0" applyFill="0" applyProtection="0"/>
    <xf numFmtId="0" fontId="29" fillId="0" borderId="0" applyFill="0" applyProtection="0"/>
    <xf numFmtId="0" fontId="44" fillId="0" borderId="0"/>
    <xf numFmtId="0" fontId="22" fillId="0" borderId="0"/>
    <xf numFmtId="0" fontId="29" fillId="0" borderId="0" applyFill="0" applyProtection="0"/>
    <xf numFmtId="0" fontId="29" fillId="0" borderId="0" applyFill="0" applyProtection="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9" fillId="0" borderId="0" applyFill="0" applyProtection="0"/>
    <xf numFmtId="0" fontId="29" fillId="0" borderId="0" applyFill="0" applyProtection="0"/>
    <xf numFmtId="0" fontId="1" fillId="0" borderId="0"/>
    <xf numFmtId="0" fontId="1" fillId="0" borderId="0"/>
    <xf numFmtId="0" fontId="1" fillId="0" borderId="0"/>
    <xf numFmtId="0" fontId="23" fillId="56" borderId="10" applyNumberFormat="0" applyFont="0" applyAlignment="0" applyProtection="0"/>
    <xf numFmtId="0" fontId="23" fillId="56" borderId="10"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56" borderId="10" applyNumberFormat="0" applyFont="0" applyAlignment="0" applyProtection="0"/>
    <xf numFmtId="0" fontId="10" fillId="6" borderId="5" applyNumberFormat="0" applyAlignment="0" applyProtection="0"/>
    <xf numFmtId="0" fontId="47" fillId="53" borderId="17"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9" fillId="0" borderId="18" applyNumberFormat="0" applyFill="0" applyAlignment="0" applyProtection="0"/>
    <xf numFmtId="0" fontId="16" fillId="0" borderId="9" applyNumberFormat="0" applyFill="0" applyAlignment="0" applyProtection="0"/>
    <xf numFmtId="0" fontId="49" fillId="0" borderId="18"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43" fontId="1" fillId="0" borderId="0" applyFont="0" applyFill="0" applyBorder="0" applyAlignment="0" applyProtection="0"/>
    <xf numFmtId="0" fontId="37" fillId="0" borderId="0" applyNumberFormat="0" applyFill="0" applyBorder="0" applyAlignment="0" applyProtection="0"/>
    <xf numFmtId="0" fontId="29" fillId="0" borderId="0" applyFill="0" applyProtection="0"/>
    <xf numFmtId="0" fontId="22" fillId="0" borderId="0"/>
    <xf numFmtId="0" fontId="22" fillId="0" borderId="0"/>
    <xf numFmtId="0" fontId="81" fillId="9" borderId="0" applyNumberFormat="0" applyBorder="0" applyAlignment="0" applyProtection="0"/>
    <xf numFmtId="0" fontId="29" fillId="0" borderId="0"/>
  </cellStyleXfs>
  <cellXfs count="301">
    <xf numFmtId="0" fontId="0" fillId="0" borderId="0" xfId="0"/>
    <xf numFmtId="0" fontId="19" fillId="33" borderId="20" xfId="0" applyFont="1" applyFill="1" applyBorder="1" applyAlignment="1">
      <alignment vertical="top" wrapText="1"/>
    </xf>
    <xf numFmtId="0" fontId="19" fillId="33" borderId="21" xfId="0" applyFont="1" applyFill="1" applyBorder="1" applyAlignment="1">
      <alignment vertical="top" wrapText="1"/>
    </xf>
    <xf numFmtId="0" fontId="19" fillId="33" borderId="0" xfId="0" applyFont="1" applyFill="1" applyBorder="1" applyAlignment="1">
      <alignment vertical="top" wrapText="1"/>
    </xf>
    <xf numFmtId="0" fontId="0" fillId="0" borderId="19" xfId="0" applyBorder="1"/>
    <xf numFmtId="0" fontId="1" fillId="0" borderId="19" xfId="0" applyFont="1" applyBorder="1" applyAlignment="1">
      <alignment vertical="top"/>
    </xf>
    <xf numFmtId="0" fontId="0" fillId="0" borderId="0" xfId="0" applyAlignment="1">
      <alignment wrapText="1"/>
    </xf>
    <xf numFmtId="0" fontId="52" fillId="57" borderId="24" xfId="2" applyNumberFormat="1" applyFont="1" applyFill="1" applyBorder="1" applyAlignment="1">
      <alignment horizontal="left" vertical="top" wrapText="1"/>
    </xf>
    <xf numFmtId="0" fontId="1" fillId="0" borderId="25" xfId="2" applyFont="1" applyFill="1" applyBorder="1" applyAlignment="1">
      <alignment horizontal="center" vertical="top"/>
    </xf>
    <xf numFmtId="0" fontId="53" fillId="0" borderId="19" xfId="0" applyFont="1" applyBorder="1"/>
    <xf numFmtId="0" fontId="53" fillId="0" borderId="19" xfId="0" applyFont="1" applyBorder="1" applyAlignment="1">
      <alignment horizontal="right"/>
    </xf>
    <xf numFmtId="0" fontId="6" fillId="0" borderId="25" xfId="1" applyFont="1" applyFill="1" applyBorder="1" applyAlignment="1">
      <alignment horizontal="center" vertical="top"/>
    </xf>
    <xf numFmtId="0" fontId="54" fillId="0" borderId="0" xfId="0" applyFont="1" applyAlignment="1">
      <alignment horizontal="center"/>
    </xf>
    <xf numFmtId="0" fontId="19" fillId="33" borderId="26" xfId="0" applyFont="1" applyFill="1" applyBorder="1" applyAlignment="1">
      <alignment vertical="top" wrapText="1"/>
    </xf>
    <xf numFmtId="0" fontId="0" fillId="0" borderId="0" xfId="0" applyBorder="1"/>
    <xf numFmtId="0" fontId="19" fillId="58" borderId="19" xfId="0" applyFont="1" applyFill="1" applyBorder="1" applyAlignment="1">
      <alignment vertical="top" wrapText="1"/>
    </xf>
    <xf numFmtId="0" fontId="19" fillId="59" borderId="19" xfId="0" applyFont="1" applyFill="1" applyBorder="1" applyAlignment="1">
      <alignment vertical="top" wrapText="1"/>
    </xf>
    <xf numFmtId="0" fontId="19" fillId="59" borderId="22" xfId="0" applyFont="1" applyFill="1" applyBorder="1" applyAlignment="1">
      <alignment vertical="top" wrapText="1"/>
    </xf>
    <xf numFmtId="0" fontId="51" fillId="0" borderId="19" xfId="0" applyFont="1" applyFill="1" applyBorder="1" applyAlignment="1">
      <alignment horizontal="center" vertical="top"/>
    </xf>
    <xf numFmtId="0" fontId="51" fillId="0" borderId="19" xfId="0" applyFont="1" applyFill="1" applyBorder="1" applyAlignment="1">
      <alignment vertical="top"/>
    </xf>
    <xf numFmtId="0" fontId="51" fillId="0" borderId="19" xfId="0" applyFont="1" applyFill="1" applyBorder="1"/>
    <xf numFmtId="0" fontId="55" fillId="0" borderId="19" xfId="1" applyFont="1" applyFill="1" applyBorder="1" applyAlignment="1">
      <alignment horizontal="center" vertical="top"/>
    </xf>
    <xf numFmtId="0" fontId="19" fillId="60" borderId="19" xfId="0" applyFont="1" applyFill="1" applyBorder="1" applyAlignment="1">
      <alignment vertical="top" wrapText="1"/>
    </xf>
    <xf numFmtId="0" fontId="19" fillId="61" borderId="19" xfId="0" applyFont="1" applyFill="1" applyBorder="1" applyAlignment="1">
      <alignment vertical="top" wrapText="1"/>
    </xf>
    <xf numFmtId="9" fontId="0" fillId="0" borderId="0" xfId="0" applyNumberFormat="1"/>
    <xf numFmtId="0" fontId="19" fillId="33" borderId="19" xfId="2" applyFont="1" applyFill="1" applyBorder="1" applyAlignment="1">
      <alignment vertical="top" wrapText="1"/>
    </xf>
    <xf numFmtId="0" fontId="6" fillId="2" borderId="19" xfId="1" applyFont="1" applyFill="1" applyBorder="1" applyAlignment="1">
      <alignment vertical="top"/>
    </xf>
    <xf numFmtId="0" fontId="1" fillId="0" borderId="19" xfId="0" applyNumberFormat="1" applyFont="1" applyBorder="1" applyAlignment="1">
      <alignment vertical="top"/>
    </xf>
    <xf numFmtId="0" fontId="16" fillId="62" borderId="19" xfId="0" applyFont="1" applyFill="1" applyBorder="1"/>
    <xf numFmtId="0" fontId="53" fillId="63" borderId="19" xfId="0" applyFont="1" applyFill="1" applyBorder="1" applyAlignment="1">
      <alignment horizontal="center"/>
    </xf>
    <xf numFmtId="0" fontId="53" fillId="63" borderId="19" xfId="0" applyFont="1" applyFill="1" applyBorder="1"/>
    <xf numFmtId="44" fontId="16" fillId="62" borderId="19" xfId="0" applyNumberFormat="1" applyFont="1" applyFill="1" applyBorder="1"/>
    <xf numFmtId="44" fontId="53" fillId="63" borderId="19" xfId="0" applyNumberFormat="1" applyFont="1" applyFill="1" applyBorder="1"/>
    <xf numFmtId="44" fontId="53" fillId="0" borderId="19" xfId="0" applyNumberFormat="1" applyFont="1" applyBorder="1"/>
    <xf numFmtId="3" fontId="16" fillId="62" borderId="19" xfId="0" applyNumberFormat="1" applyFont="1" applyFill="1" applyBorder="1"/>
    <xf numFmtId="0" fontId="0" fillId="0" borderId="0" xfId="0" applyNumberFormat="1"/>
    <xf numFmtId="0" fontId="51" fillId="0" borderId="27" xfId="0" applyFont="1" applyBorder="1"/>
    <xf numFmtId="0" fontId="0" fillId="0" borderId="27" xfId="0" applyBorder="1"/>
    <xf numFmtId="0" fontId="58" fillId="0" borderId="27" xfId="0" applyFont="1" applyFill="1" applyBorder="1" applyAlignment="1">
      <alignment horizontal="center" vertical="top"/>
    </xf>
    <xf numFmtId="0" fontId="58" fillId="0" borderId="27" xfId="0" applyFont="1" applyFill="1" applyBorder="1" applyAlignment="1">
      <alignment vertical="top"/>
    </xf>
    <xf numFmtId="0" fontId="58" fillId="0" borderId="27" xfId="0" applyFont="1" applyFill="1" applyBorder="1"/>
    <xf numFmtId="44" fontId="51" fillId="0" borderId="19" xfId="0" applyNumberFormat="1" applyFont="1" applyFill="1" applyBorder="1"/>
    <xf numFmtId="44" fontId="58" fillId="0" borderId="27" xfId="0" applyNumberFormat="1" applyFont="1" applyFill="1" applyBorder="1"/>
    <xf numFmtId="0" fontId="51" fillId="0" borderId="27" xfId="0" applyFont="1" applyFill="1" applyBorder="1"/>
    <xf numFmtId="0" fontId="51" fillId="0" borderId="27" xfId="0" applyNumberFormat="1" applyFont="1" applyFill="1" applyBorder="1"/>
    <xf numFmtId="44" fontId="51" fillId="0" borderId="27" xfId="0" applyNumberFormat="1" applyFont="1" applyFill="1" applyBorder="1"/>
    <xf numFmtId="0" fontId="54" fillId="0" borderId="0" xfId="0" applyFont="1" applyFill="1" applyAlignment="1">
      <alignment horizontal="center"/>
    </xf>
    <xf numFmtId="0" fontId="0" fillId="0" borderId="0" xfId="0" applyFill="1"/>
    <xf numFmtId="0" fontId="56" fillId="0" borderId="0" xfId="0" applyFont="1" applyFill="1" applyBorder="1" applyAlignment="1">
      <alignment horizontal="center"/>
    </xf>
    <xf numFmtId="0" fontId="16" fillId="0" borderId="0" xfId="0" applyFont="1" applyFill="1" applyBorder="1"/>
    <xf numFmtId="0" fontId="0" fillId="0" borderId="0" xfId="0" applyFill="1" applyBorder="1"/>
    <xf numFmtId="0" fontId="53" fillId="0" borderId="0" xfId="0" applyFont="1" applyFill="1" applyBorder="1"/>
    <xf numFmtId="4" fontId="0" fillId="0" borderId="0" xfId="0" applyNumberFormat="1" applyFill="1" applyBorder="1"/>
    <xf numFmtId="44" fontId="16" fillId="0" borderId="0" xfId="0" applyNumberFormat="1" applyFont="1" applyFill="1" applyBorder="1"/>
    <xf numFmtId="44" fontId="53" fillId="0" borderId="0" xfId="0" applyNumberFormat="1" applyFont="1" applyFill="1" applyBorder="1"/>
    <xf numFmtId="0" fontId="0" fillId="0" borderId="0" xfId="0" applyNumberFormat="1" applyBorder="1"/>
    <xf numFmtId="0" fontId="0" fillId="0" borderId="27" xfId="0" applyFill="1" applyBorder="1"/>
    <xf numFmtId="0" fontId="0" fillId="0" borderId="31" xfId="0" applyFill="1" applyBorder="1"/>
    <xf numFmtId="0" fontId="0" fillId="0" borderId="32" xfId="0" applyFill="1" applyBorder="1"/>
    <xf numFmtId="0" fontId="0" fillId="0" borderId="33" xfId="0" applyFill="1" applyBorder="1"/>
    <xf numFmtId="0" fontId="0" fillId="0" borderId="34" xfId="0" applyFill="1" applyBorder="1"/>
    <xf numFmtId="0" fontId="0" fillId="0" borderId="35" xfId="0" applyFill="1" applyBorder="1"/>
    <xf numFmtId="0" fontId="0" fillId="0" borderId="36" xfId="0" applyBorder="1"/>
    <xf numFmtId="0" fontId="0" fillId="0" borderId="37" xfId="0" applyBorder="1"/>
    <xf numFmtId="0" fontId="0" fillId="0" borderId="37" xfId="0" applyFill="1" applyBorder="1"/>
    <xf numFmtId="0" fontId="0" fillId="0" borderId="38" xfId="0" applyBorder="1"/>
    <xf numFmtId="0" fontId="59" fillId="0" borderId="0" xfId="0" applyFont="1" applyFill="1" applyBorder="1" applyAlignment="1">
      <alignment horizontal="center"/>
    </xf>
    <xf numFmtId="0" fontId="0" fillId="0" borderId="34" xfId="0" applyFill="1" applyBorder="1" applyAlignment="1">
      <alignment horizontal="right"/>
    </xf>
    <xf numFmtId="0" fontId="57" fillId="0" borderId="25" xfId="2" applyFont="1" applyFill="1" applyBorder="1" applyAlignment="1">
      <alignment horizontal="center" vertical="top"/>
    </xf>
    <xf numFmtId="0" fontId="1" fillId="0" borderId="28" xfId="2" applyFont="1" applyFill="1" applyBorder="1" applyAlignment="1">
      <alignment horizontal="center" vertical="top"/>
    </xf>
    <xf numFmtId="0" fontId="0" fillId="0" borderId="34" xfId="0" applyBorder="1"/>
    <xf numFmtId="0" fontId="56" fillId="0" borderId="0" xfId="0" applyFont="1" applyFill="1" applyBorder="1" applyAlignment="1">
      <alignment horizontal="right"/>
    </xf>
    <xf numFmtId="0" fontId="19" fillId="64" borderId="19" xfId="0" applyFont="1" applyFill="1" applyBorder="1" applyAlignment="1">
      <alignment vertical="top" wrapText="1"/>
    </xf>
    <xf numFmtId="0" fontId="19" fillId="64" borderId="22" xfId="0" applyFont="1" applyFill="1" applyBorder="1" applyAlignment="1">
      <alignment vertical="top" wrapText="1"/>
    </xf>
    <xf numFmtId="0" fontId="0" fillId="0" borderId="0" xfId="0" applyAlignment="1">
      <alignment horizontal="left"/>
    </xf>
    <xf numFmtId="0" fontId="53" fillId="0" borderId="0" xfId="0" applyFont="1" applyBorder="1" applyAlignment="1">
      <alignment horizontal="right"/>
    </xf>
    <xf numFmtId="44" fontId="53" fillId="0" borderId="0" xfId="0" applyNumberFormat="1" applyFont="1" applyBorder="1"/>
    <xf numFmtId="14" fontId="0" fillId="0" borderId="0" xfId="0" applyNumberFormat="1" applyFill="1"/>
    <xf numFmtId="165" fontId="0" fillId="0" borderId="0" xfId="0" applyNumberFormat="1" applyFill="1"/>
    <xf numFmtId="0" fontId="16" fillId="62" borderId="27" xfId="0" applyFont="1" applyFill="1" applyBorder="1"/>
    <xf numFmtId="44" fontId="53" fillId="0" borderId="27" xfId="0" applyNumberFormat="1" applyFont="1" applyBorder="1" applyAlignment="1">
      <alignment horizontal="right"/>
    </xf>
    <xf numFmtId="166" fontId="53" fillId="0" borderId="27" xfId="0" applyNumberFormat="1" applyFont="1" applyBorder="1"/>
    <xf numFmtId="3" fontId="16" fillId="65" borderId="27" xfId="0" applyNumberFormat="1" applyFont="1" applyFill="1" applyBorder="1" applyAlignment="1">
      <alignment horizontal="center" vertical="center" wrapText="1"/>
    </xf>
    <xf numFmtId="3" fontId="16" fillId="66" borderId="27" xfId="0" applyNumberFormat="1" applyFont="1" applyFill="1" applyBorder="1" applyAlignment="1">
      <alignment horizontal="center" vertical="center" wrapText="1"/>
    </xf>
    <xf numFmtId="167" fontId="0" fillId="0" borderId="0" xfId="0" applyNumberFormat="1"/>
    <xf numFmtId="0" fontId="0" fillId="0" borderId="19" xfId="0" applyFont="1" applyBorder="1" applyAlignment="1">
      <alignment vertical="top"/>
    </xf>
    <xf numFmtId="0" fontId="52" fillId="67" borderId="24" xfId="2" applyNumberFormat="1" applyFont="1" applyFill="1" applyBorder="1" applyAlignment="1">
      <alignment horizontal="left" vertical="top" wrapText="1"/>
    </xf>
    <xf numFmtId="0" fontId="51" fillId="0" borderId="27" xfId="2" applyFont="1" applyFill="1" applyBorder="1" applyAlignment="1">
      <alignment horizontal="center" vertical="top"/>
    </xf>
    <xf numFmtId="0" fontId="51" fillId="0" borderId="27" xfId="0" applyFont="1" applyFill="1" applyBorder="1" applyAlignment="1">
      <alignment vertical="top"/>
    </xf>
    <xf numFmtId="0" fontId="51" fillId="0" borderId="44" xfId="2" applyFont="1" applyFill="1" applyBorder="1" applyAlignment="1">
      <alignment horizontal="center" vertical="top"/>
    </xf>
    <xf numFmtId="0" fontId="51" fillId="0" borderId="44" xfId="0" applyFont="1" applyFill="1" applyBorder="1" applyAlignment="1">
      <alignment vertical="top"/>
    </xf>
    <xf numFmtId="0" fontId="51" fillId="0" borderId="44" xfId="0" applyFont="1" applyFill="1" applyBorder="1"/>
    <xf numFmtId="44" fontId="51" fillId="0" borderId="44" xfId="0" applyNumberFormat="1" applyFont="1" applyFill="1" applyBorder="1"/>
    <xf numFmtId="0" fontId="51" fillId="0" borderId="44" xfId="0" applyNumberFormat="1" applyFont="1" applyFill="1" applyBorder="1"/>
    <xf numFmtId="0" fontId="0" fillId="0" borderId="25" xfId="2" applyFont="1" applyFill="1" applyBorder="1" applyAlignment="1">
      <alignment horizontal="center" vertical="top"/>
    </xf>
    <xf numFmtId="0" fontId="0" fillId="0" borderId="30" xfId="0" applyBorder="1"/>
    <xf numFmtId="0" fontId="0" fillId="0" borderId="39" xfId="0" applyBorder="1"/>
    <xf numFmtId="0" fontId="0" fillId="0" borderId="28" xfId="0" applyBorder="1"/>
    <xf numFmtId="0" fontId="1" fillId="0" borderId="45" xfId="2" applyFont="1" applyFill="1" applyBorder="1" applyAlignment="1">
      <alignment horizontal="center" vertical="top"/>
    </xf>
    <xf numFmtId="9" fontId="0" fillId="0" borderId="0" xfId="0" applyNumberFormat="1" applyFill="1"/>
    <xf numFmtId="10" fontId="62" fillId="0" borderId="0" xfId="0" applyNumberFormat="1" applyFont="1" applyFill="1" applyBorder="1" applyAlignment="1">
      <alignment horizontal="center"/>
    </xf>
    <xf numFmtId="0" fontId="53" fillId="0" borderId="27" xfId="0" applyFont="1" applyFill="1" applyBorder="1" applyAlignment="1">
      <alignment horizontal="right"/>
    </xf>
    <xf numFmtId="4" fontId="0" fillId="0" borderId="27" xfId="0" applyNumberFormat="1" applyFill="1" applyBorder="1" applyAlignment="1">
      <alignment horizontal="center"/>
    </xf>
    <xf numFmtId="44" fontId="0" fillId="0" borderId="27" xfId="0" applyNumberFormat="1" applyFill="1" applyBorder="1" applyAlignment="1">
      <alignment horizontal="center"/>
    </xf>
    <xf numFmtId="0" fontId="24" fillId="44" borderId="27" xfId="101" applyBorder="1"/>
    <xf numFmtId="0" fontId="24" fillId="44" borderId="27" xfId="101" applyBorder="1" applyAlignment="1">
      <alignment horizontal="left"/>
    </xf>
    <xf numFmtId="0" fontId="65" fillId="44" borderId="27" xfId="101" applyFont="1" applyBorder="1"/>
    <xf numFmtId="4" fontId="0" fillId="0" borderId="27" xfId="0" applyNumberFormat="1" applyBorder="1"/>
    <xf numFmtId="0" fontId="53" fillId="0" borderId="0" xfId="0" applyFont="1" applyBorder="1" applyAlignment="1">
      <alignment horizontal="center"/>
    </xf>
    <xf numFmtId="44" fontId="0" fillId="0" borderId="27" xfId="0" applyNumberFormat="1" applyFill="1" applyBorder="1"/>
    <xf numFmtId="0" fontId="53" fillId="0" borderId="0" xfId="0" applyFont="1" applyFill="1" applyBorder="1" applyAlignment="1">
      <alignment horizontal="center"/>
    </xf>
    <xf numFmtId="4" fontId="16" fillId="62" borderId="19" xfId="0" applyNumberFormat="1" applyFont="1" applyFill="1" applyBorder="1" applyAlignment="1">
      <alignment horizontal="right"/>
    </xf>
    <xf numFmtId="4" fontId="53" fillId="63" borderId="19" xfId="0" applyNumberFormat="1" applyFont="1" applyFill="1" applyBorder="1" applyAlignment="1">
      <alignment horizontal="right"/>
    </xf>
    <xf numFmtId="4" fontId="53" fillId="0" borderId="19" xfId="0" applyNumberFormat="1" applyFont="1" applyBorder="1" applyAlignment="1">
      <alignment horizontal="right"/>
    </xf>
    <xf numFmtId="2" fontId="51" fillId="0" borderId="19" xfId="0" applyNumberFormat="1" applyFont="1" applyFill="1" applyBorder="1"/>
    <xf numFmtId="2" fontId="58" fillId="0" borderId="27" xfId="0" applyNumberFormat="1" applyFont="1" applyFill="1" applyBorder="1"/>
    <xf numFmtId="2" fontId="51" fillId="0" borderId="27" xfId="0" applyNumberFormat="1" applyFont="1" applyFill="1" applyBorder="1"/>
    <xf numFmtId="2" fontId="51" fillId="0" borderId="44" xfId="0" applyNumberFormat="1" applyFont="1" applyFill="1" applyBorder="1"/>
    <xf numFmtId="0" fontId="56" fillId="0" borderId="0" xfId="0" applyFont="1" applyAlignment="1">
      <alignment vertical="center"/>
    </xf>
    <xf numFmtId="0" fontId="67" fillId="0" borderId="0" xfId="0" applyFont="1" applyAlignment="1">
      <alignment vertical="center"/>
    </xf>
    <xf numFmtId="0" fontId="0" fillId="68" borderId="0" xfId="0" applyFill="1"/>
    <xf numFmtId="0" fontId="0" fillId="0" borderId="0" xfId="0" applyAlignment="1">
      <alignment vertical="center"/>
    </xf>
    <xf numFmtId="0" fontId="70" fillId="0" borderId="0" xfId="0" applyFont="1"/>
    <xf numFmtId="0" fontId="0" fillId="0" borderId="0" xfId="0" applyAlignment="1">
      <alignment vertical="center"/>
    </xf>
    <xf numFmtId="0" fontId="0" fillId="0" borderId="0" xfId="0" applyAlignment="1"/>
    <xf numFmtId="0" fontId="0" fillId="68" borderId="0" xfId="0" applyFill="1" applyBorder="1"/>
    <xf numFmtId="0" fontId="71" fillId="0" borderId="0" xfId="0" applyFont="1" applyBorder="1" applyAlignment="1">
      <alignment vertical="center"/>
    </xf>
    <xf numFmtId="0" fontId="71" fillId="0" borderId="0" xfId="0" applyFont="1" applyAlignment="1">
      <alignment vertical="center"/>
    </xf>
    <xf numFmtId="3" fontId="0" fillId="0" borderId="0" xfId="0" applyNumberFormat="1"/>
    <xf numFmtId="3" fontId="72" fillId="0" borderId="0" xfId="0" applyNumberFormat="1" applyFont="1" applyAlignment="1">
      <alignment horizontal="center" vertical="center"/>
    </xf>
    <xf numFmtId="44" fontId="51" fillId="63" borderId="19" xfId="0" applyNumberFormat="1" applyFont="1" applyFill="1" applyBorder="1"/>
    <xf numFmtId="0" fontId="59" fillId="0" borderId="0" xfId="0" applyFont="1" applyFill="1" applyBorder="1" applyAlignment="1">
      <alignment horizontal="center"/>
    </xf>
    <xf numFmtId="0" fontId="54" fillId="0" borderId="0" xfId="0" applyFont="1" applyAlignment="1" applyProtection="1">
      <alignment horizontal="center"/>
      <protection locked="0"/>
    </xf>
    <xf numFmtId="0" fontId="0" fillId="0" borderId="31" xfId="0" applyBorder="1"/>
    <xf numFmtId="0" fontId="0" fillId="0" borderId="50" xfId="0" applyBorder="1"/>
    <xf numFmtId="0" fontId="0" fillId="0" borderId="51" xfId="0" applyBorder="1"/>
    <xf numFmtId="0" fontId="0" fillId="0" borderId="52" xfId="0" applyBorder="1"/>
    <xf numFmtId="0" fontId="0" fillId="0" borderId="33" xfId="0" applyBorder="1"/>
    <xf numFmtId="0" fontId="0" fillId="0" borderId="42" xfId="0" applyFill="1" applyBorder="1"/>
    <xf numFmtId="0" fontId="16" fillId="0" borderId="53" xfId="0" applyFont="1" applyBorder="1"/>
    <xf numFmtId="0" fontId="0" fillId="0" borderId="32" xfId="0" applyBorder="1"/>
    <xf numFmtId="0" fontId="0" fillId="0" borderId="54" xfId="0" applyBorder="1"/>
    <xf numFmtId="0" fontId="0" fillId="0" borderId="55" xfId="0" applyBorder="1"/>
    <xf numFmtId="0" fontId="74" fillId="69" borderId="56" xfId="0" applyFont="1" applyFill="1" applyBorder="1" applyAlignment="1">
      <alignment horizontal="left" wrapText="1"/>
    </xf>
    <xf numFmtId="0" fontId="74" fillId="69" borderId="56" xfId="0" applyFont="1" applyFill="1" applyBorder="1"/>
    <xf numFmtId="0" fontId="74" fillId="69" borderId="57" xfId="0" applyFont="1" applyFill="1" applyBorder="1"/>
    <xf numFmtId="0" fontId="74" fillId="0" borderId="57" xfId="0" applyFont="1" applyBorder="1"/>
    <xf numFmtId="0" fontId="0" fillId="0" borderId="35" xfId="0" applyBorder="1"/>
    <xf numFmtId="168" fontId="74" fillId="0" borderId="58" xfId="0" applyNumberFormat="1" applyFont="1" applyBorder="1"/>
    <xf numFmtId="0" fontId="16" fillId="0" borderId="34" xfId="0" applyFont="1" applyBorder="1"/>
    <xf numFmtId="0" fontId="16" fillId="0" borderId="59" xfId="0" applyFont="1" applyBorder="1"/>
    <xf numFmtId="168" fontId="16" fillId="0" borderId="59" xfId="0" applyNumberFormat="1" applyFont="1" applyBorder="1"/>
    <xf numFmtId="168" fontId="74" fillId="0" borderId="57" xfId="0" applyNumberFormat="1" applyFont="1" applyBorder="1"/>
    <xf numFmtId="0" fontId="0" fillId="0" borderId="59" xfId="0" applyBorder="1"/>
    <xf numFmtId="0" fontId="16" fillId="0" borderId="32" xfId="0" applyFont="1" applyBorder="1"/>
    <xf numFmtId="168" fontId="0" fillId="0" borderId="32" xfId="0" applyNumberFormat="1" applyBorder="1"/>
    <xf numFmtId="168" fontId="0" fillId="0" borderId="55" xfId="0" applyNumberFormat="1" applyBorder="1"/>
    <xf numFmtId="168" fontId="0" fillId="0" borderId="33" xfId="0" applyNumberFormat="1" applyBorder="1"/>
    <xf numFmtId="0" fontId="74" fillId="69" borderId="60" xfId="0" applyFont="1" applyFill="1" applyBorder="1"/>
    <xf numFmtId="0" fontId="16" fillId="0" borderId="0" xfId="0" applyFont="1"/>
    <xf numFmtId="0" fontId="0" fillId="0" borderId="61" xfId="0" applyBorder="1"/>
    <xf numFmtId="0" fontId="16" fillId="0" borderId="31" xfId="0" applyFont="1" applyBorder="1"/>
    <xf numFmtId="168" fontId="0" fillId="0" borderId="54" xfId="0" applyNumberFormat="1" applyBorder="1"/>
    <xf numFmtId="0" fontId="16" fillId="0" borderId="34" xfId="0" applyFont="1" applyBorder="1" applyAlignment="1">
      <alignment horizontal="left" vertical="center"/>
    </xf>
    <xf numFmtId="0" fontId="16" fillId="0" borderId="36" xfId="0" applyFont="1" applyBorder="1"/>
    <xf numFmtId="0" fontId="16" fillId="0" borderId="61" xfId="0" applyFont="1" applyBorder="1"/>
    <xf numFmtId="4" fontId="53" fillId="0" borderId="0" xfId="0" applyNumberFormat="1" applyFont="1" applyBorder="1" applyAlignment="1">
      <alignment horizontal="right"/>
    </xf>
    <xf numFmtId="0" fontId="53" fillId="0" borderId="0" xfId="0" applyFont="1" applyFill="1" applyBorder="1" applyAlignment="1">
      <alignment horizontal="right"/>
    </xf>
    <xf numFmtId="44" fontId="53" fillId="0" borderId="0" xfId="0" applyNumberFormat="1" applyFont="1" applyBorder="1" applyAlignment="1">
      <alignment horizontal="center"/>
    </xf>
    <xf numFmtId="0" fontId="53" fillId="62" borderId="27" xfId="0" applyFont="1" applyFill="1" applyBorder="1" applyAlignment="1">
      <alignment horizontal="center"/>
    </xf>
    <xf numFmtId="44" fontId="53" fillId="0" borderId="0" xfId="0" applyNumberFormat="1" applyFont="1" applyFill="1" applyBorder="1" applyAlignment="1">
      <alignment horizontal="right"/>
    </xf>
    <xf numFmtId="0" fontId="0" fillId="0" borderId="43" xfId="0" applyBorder="1" applyAlignment="1">
      <alignment horizontal="left" vertical="top"/>
    </xf>
    <xf numFmtId="0" fontId="0" fillId="63" borderId="44" xfId="0" applyFill="1" applyBorder="1" applyAlignment="1">
      <alignment horizontal="left" vertical="top"/>
    </xf>
    <xf numFmtId="0" fontId="0" fillId="63" borderId="49" xfId="0" applyFill="1" applyBorder="1" applyAlignment="1">
      <alignment horizontal="left" vertical="top"/>
    </xf>
    <xf numFmtId="4" fontId="0" fillId="0" borderId="24" xfId="0" applyNumberFormat="1" applyFill="1" applyBorder="1" applyAlignment="1">
      <alignment horizontal="center"/>
    </xf>
    <xf numFmtId="0" fontId="24" fillId="0" borderId="0" xfId="101" applyFill="1" applyBorder="1" applyAlignment="1">
      <alignment horizontal="left"/>
    </xf>
    <xf numFmtId="0" fontId="53" fillId="0" borderId="0" xfId="0" applyFont="1" applyFill="1" applyBorder="1" applyAlignment="1">
      <alignment horizontal="left"/>
    </xf>
    <xf numFmtId="0" fontId="53" fillId="0" borderId="24" xfId="0"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right"/>
    </xf>
    <xf numFmtId="0" fontId="76" fillId="0" borderId="0" xfId="101" applyFont="1" applyFill="1" applyBorder="1" applyAlignment="1">
      <alignment horizontal="right"/>
    </xf>
    <xf numFmtId="0" fontId="77" fillId="0" borderId="0" xfId="0" applyFont="1" applyFill="1" applyBorder="1"/>
    <xf numFmtId="4" fontId="77" fillId="0" borderId="0" xfId="0" applyNumberFormat="1" applyFont="1" applyFill="1" applyBorder="1"/>
    <xf numFmtId="0" fontId="78" fillId="0" borderId="0" xfId="0" applyFont="1" applyFill="1" applyBorder="1" applyAlignment="1">
      <alignment horizontal="right"/>
    </xf>
    <xf numFmtId="4" fontId="77" fillId="0" borderId="0" xfId="0" applyNumberFormat="1" applyFont="1" applyFill="1" applyBorder="1" applyAlignment="1">
      <alignment horizontal="center"/>
    </xf>
    <xf numFmtId="44" fontId="77" fillId="0" borderId="0" xfId="0" applyNumberFormat="1" applyFont="1" applyFill="1" applyBorder="1"/>
    <xf numFmtId="0" fontId="77" fillId="0" borderId="0" xfId="0" applyFont="1" applyFill="1" applyBorder="1" applyAlignment="1">
      <alignment horizontal="right"/>
    </xf>
    <xf numFmtId="0" fontId="53" fillId="0" borderId="64" xfId="0" applyFont="1" applyFill="1" applyBorder="1" applyAlignment="1">
      <alignment horizontal="right"/>
    </xf>
    <xf numFmtId="4" fontId="0" fillId="0" borderId="64" xfId="0" applyNumberFormat="1" applyFill="1" applyBorder="1" applyAlignment="1">
      <alignment horizontal="center"/>
    </xf>
    <xf numFmtId="0" fontId="56" fillId="0" borderId="0" xfId="0" applyFont="1" applyFill="1" applyBorder="1" applyAlignment="1">
      <alignment horizontal="left"/>
    </xf>
    <xf numFmtId="0" fontId="28" fillId="68" borderId="0" xfId="101" applyFont="1" applyFill="1" applyBorder="1" applyAlignment="1">
      <alignment horizontal="left"/>
    </xf>
    <xf numFmtId="0" fontId="24" fillId="68" borderId="0" xfId="101" applyFill="1" applyBorder="1" applyAlignment="1">
      <alignment horizontal="left"/>
    </xf>
    <xf numFmtId="0" fontId="24" fillId="68" borderId="0" xfId="101" applyFill="1" applyBorder="1" applyAlignment="1">
      <alignment horizontal="center"/>
    </xf>
    <xf numFmtId="0" fontId="0" fillId="0" borderId="68" xfId="0" applyBorder="1"/>
    <xf numFmtId="0" fontId="0" fillId="0" borderId="69" xfId="0" applyFill="1" applyBorder="1"/>
    <xf numFmtId="0" fontId="0" fillId="0" borderId="70" xfId="0" applyBorder="1"/>
    <xf numFmtId="0" fontId="0" fillId="0" borderId="71" xfId="0" applyBorder="1"/>
    <xf numFmtId="0" fontId="0" fillId="0" borderId="71" xfId="0" applyFill="1" applyBorder="1"/>
    <xf numFmtId="0" fontId="0" fillId="0" borderId="72" xfId="0" applyFill="1" applyBorder="1"/>
    <xf numFmtId="0" fontId="80" fillId="0" borderId="0" xfId="0" quotePrefix="1" applyFont="1" applyFill="1" applyBorder="1" applyAlignment="1">
      <alignment horizontal="center"/>
    </xf>
    <xf numFmtId="0" fontId="80" fillId="0" borderId="0" xfId="0" applyFont="1" applyFill="1" applyBorder="1" applyAlignment="1">
      <alignment horizontal="center"/>
    </xf>
    <xf numFmtId="44" fontId="78" fillId="0" borderId="0" xfId="0" applyNumberFormat="1" applyFont="1" applyBorder="1"/>
    <xf numFmtId="13" fontId="53" fillId="0" borderId="0" xfId="0" quotePrefix="1" applyNumberFormat="1" applyFont="1" applyFill="1" applyBorder="1"/>
    <xf numFmtId="0" fontId="78" fillId="0" borderId="0" xfId="0" quotePrefix="1" applyFont="1" applyBorder="1" applyAlignment="1">
      <alignment horizontal="left"/>
    </xf>
    <xf numFmtId="0" fontId="0" fillId="63" borderId="48" xfId="0" applyFill="1" applyBorder="1" applyAlignment="1">
      <alignment horizontal="left" vertical="top"/>
    </xf>
    <xf numFmtId="0" fontId="0" fillId="0" borderId="47" xfId="0" applyBorder="1" applyAlignment="1">
      <alignment horizontal="left" vertical="top"/>
    </xf>
    <xf numFmtId="44" fontId="51" fillId="0" borderId="27" xfId="0" applyNumberFormat="1" applyFont="1" applyBorder="1"/>
    <xf numFmtId="0" fontId="53" fillId="62" borderId="28" xfId="0" applyFont="1" applyFill="1" applyBorder="1" applyAlignment="1">
      <alignment horizontal="center"/>
    </xf>
    <xf numFmtId="0" fontId="53" fillId="0" borderId="29" xfId="0" applyFont="1" applyFill="1" applyBorder="1" applyAlignment="1">
      <alignment horizontal="center"/>
    </xf>
    <xf numFmtId="0" fontId="53" fillId="0" borderId="28" xfId="0" applyFont="1" applyFill="1" applyBorder="1" applyAlignment="1">
      <alignment horizontal="center"/>
    </xf>
    <xf numFmtId="0" fontId="23" fillId="0" borderId="73" xfId="287" applyFont="1" applyFill="1" applyBorder="1" applyAlignment="1">
      <alignment wrapText="1"/>
    </xf>
    <xf numFmtId="0" fontId="23" fillId="0" borderId="0" xfId="287" applyFont="1" applyFill="1" applyBorder="1" applyAlignment="1">
      <alignment wrapText="1"/>
    </xf>
    <xf numFmtId="0" fontId="83" fillId="0" borderId="0" xfId="0" applyFont="1"/>
    <xf numFmtId="0" fontId="84" fillId="0" borderId="0" xfId="0" applyFont="1"/>
    <xf numFmtId="0" fontId="51" fillId="0" borderId="27" xfId="0" applyNumberFormat="1" applyFont="1" applyBorder="1"/>
    <xf numFmtId="0" fontId="85" fillId="0" borderId="0" xfId="0" applyFont="1"/>
    <xf numFmtId="0" fontId="52" fillId="70" borderId="24" xfId="217" applyNumberFormat="1" applyFont="1" applyFill="1" applyBorder="1" applyAlignment="1">
      <alignment horizontal="left" vertical="top" wrapText="1"/>
    </xf>
    <xf numFmtId="0" fontId="52" fillId="71" borderId="24" xfId="217" applyNumberFormat="1" applyFont="1" applyFill="1" applyBorder="1" applyAlignment="1">
      <alignment horizontal="left" vertical="top" wrapText="1"/>
    </xf>
    <xf numFmtId="0" fontId="52" fillId="72" borderId="24" xfId="217" applyNumberFormat="1" applyFont="1" applyFill="1" applyBorder="1" applyAlignment="1">
      <alignment horizontal="left" vertical="top" wrapText="1"/>
    </xf>
    <xf numFmtId="0" fontId="52" fillId="73" borderId="24" xfId="217" applyNumberFormat="1" applyFont="1" applyFill="1" applyBorder="1" applyAlignment="1">
      <alignment horizontal="left" vertical="top" wrapText="1"/>
    </xf>
    <xf numFmtId="0" fontId="52" fillId="74" borderId="24" xfId="217" applyNumberFormat="1" applyFont="1" applyFill="1" applyBorder="1" applyAlignment="1">
      <alignment horizontal="left" vertical="top" wrapText="1"/>
    </xf>
    <xf numFmtId="170" fontId="51" fillId="0" borderId="27" xfId="0" applyNumberFormat="1" applyFont="1" applyBorder="1"/>
    <xf numFmtId="5" fontId="51" fillId="0" borderId="27" xfId="0" applyNumberFormat="1" applyFont="1" applyBorder="1"/>
    <xf numFmtId="169" fontId="53" fillId="0" borderId="27" xfId="0" applyNumberFormat="1" applyFont="1" applyBorder="1" applyAlignment="1">
      <alignment horizontal="right"/>
    </xf>
    <xf numFmtId="3" fontId="53" fillId="0" borderId="27" xfId="0" applyNumberFormat="1" applyFont="1" applyBorder="1" applyAlignment="1">
      <alignment horizontal="right"/>
    </xf>
    <xf numFmtId="171" fontId="53" fillId="0" borderId="27" xfId="0" applyNumberFormat="1" applyFont="1" applyBorder="1" applyAlignment="1">
      <alignment horizontal="right"/>
    </xf>
    <xf numFmtId="3" fontId="0" fillId="0" borderId="27" xfId="0" applyNumberFormat="1" applyBorder="1"/>
    <xf numFmtId="171" fontId="0" fillId="0" borderId="27" xfId="0" applyNumberFormat="1" applyBorder="1"/>
    <xf numFmtId="171" fontId="0" fillId="0" borderId="24" xfId="0" applyNumberFormat="1" applyBorder="1"/>
    <xf numFmtId="3" fontId="0" fillId="0" borderId="64" xfId="0" applyNumberFormat="1" applyBorder="1"/>
    <xf numFmtId="0" fontId="16" fillId="75" borderId="29" xfId="0" applyFont="1" applyFill="1" applyBorder="1" applyAlignment="1"/>
    <xf numFmtId="0" fontId="0" fillId="75" borderId="43" xfId="0" applyFill="1" applyBorder="1" applyAlignment="1"/>
    <xf numFmtId="0" fontId="16" fillId="75" borderId="43" xfId="0" applyFont="1" applyFill="1" applyBorder="1" applyAlignment="1"/>
    <xf numFmtId="0" fontId="0" fillId="75" borderId="28" xfId="0" applyFill="1" applyBorder="1" applyAlignment="1"/>
    <xf numFmtId="0" fontId="0" fillId="0" borderId="0" xfId="0" applyAlignment="1">
      <alignment vertical="top" wrapText="1"/>
    </xf>
    <xf numFmtId="0" fontId="0" fillId="0" borderId="0" xfId="0" applyAlignment="1">
      <alignment vertical="top"/>
    </xf>
    <xf numFmtId="0" fontId="68" fillId="0" borderId="0" xfId="0" applyFont="1" applyAlignment="1">
      <alignment horizontal="center"/>
    </xf>
    <xf numFmtId="0" fontId="69"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wrapText="1"/>
    </xf>
    <xf numFmtId="0" fontId="0" fillId="0" borderId="0" xfId="0" applyFont="1" applyAlignment="1">
      <alignment vertical="center"/>
    </xf>
    <xf numFmtId="0" fontId="77" fillId="0" borderId="0" xfId="0" applyFont="1" applyAlignment="1">
      <alignment vertical="center" wrapText="1"/>
    </xf>
    <xf numFmtId="0" fontId="77" fillId="0" borderId="0" xfId="0" applyFont="1" applyAlignment="1">
      <alignment vertical="center"/>
    </xf>
    <xf numFmtId="0" fontId="16" fillId="0" borderId="0" xfId="0" applyFont="1" applyAlignment="1">
      <alignment vertical="center" wrapText="1"/>
    </xf>
    <xf numFmtId="0" fontId="74" fillId="69" borderId="62" xfId="0" applyFont="1" applyFill="1" applyBorder="1" applyAlignment="1">
      <alignment horizontal="left" vertical="center"/>
    </xf>
    <xf numFmtId="0" fontId="74" fillId="69" borderId="34" xfId="0" applyFont="1" applyFill="1" applyBorder="1" applyAlignment="1">
      <alignment horizontal="left" vertical="center"/>
    </xf>
    <xf numFmtId="0" fontId="74" fillId="69" borderId="63" xfId="0" applyFont="1" applyFill="1" applyBorder="1" applyAlignment="1">
      <alignment horizontal="left" vertical="center"/>
    </xf>
    <xf numFmtId="10" fontId="62" fillId="0" borderId="0" xfId="0" applyNumberFormat="1" applyFont="1" applyFill="1" applyBorder="1" applyAlignment="1">
      <alignment horizontal="left" wrapText="1"/>
    </xf>
    <xf numFmtId="0" fontId="0" fillId="0" borderId="0" xfId="0" applyAlignment="1">
      <alignment horizontal="left" wrapText="1"/>
    </xf>
    <xf numFmtId="0" fontId="0" fillId="0" borderId="44" xfId="0" applyBorder="1" applyAlignment="1">
      <alignment horizontal="left" vertical="top"/>
    </xf>
    <xf numFmtId="0" fontId="0" fillId="0" borderId="24" xfId="0" applyBorder="1" applyAlignment="1">
      <alignment horizontal="left" vertical="top"/>
    </xf>
    <xf numFmtId="0" fontId="59" fillId="0" borderId="0" xfId="0" applyFont="1" applyFill="1" applyBorder="1" applyAlignment="1">
      <alignment horizontal="left"/>
    </xf>
    <xf numFmtId="0" fontId="0" fillId="0" borderId="0" xfId="0" applyFill="1" applyAlignment="1">
      <alignment horizontal="left" vertical="top" wrapText="1"/>
    </xf>
    <xf numFmtId="0" fontId="59" fillId="0" borderId="0" xfId="0" applyFont="1" applyAlignment="1">
      <alignment horizontal="center"/>
    </xf>
    <xf numFmtId="0" fontId="16" fillId="63" borderId="27" xfId="0" applyFont="1" applyFill="1" applyBorder="1" applyAlignment="1">
      <alignment wrapText="1"/>
    </xf>
    <xf numFmtId="0" fontId="0" fillId="63" borderId="27" xfId="0" applyFill="1" applyBorder="1" applyAlignment="1">
      <alignment wrapText="1"/>
    </xf>
    <xf numFmtId="0" fontId="56" fillId="0" borderId="44" xfId="0" applyFont="1" applyBorder="1" applyAlignment="1">
      <alignment horizontal="center" wrapText="1"/>
    </xf>
    <xf numFmtId="0" fontId="0" fillId="0" borderId="27" xfId="0" applyBorder="1" applyAlignment="1">
      <alignment horizontal="center" wrapText="1"/>
    </xf>
    <xf numFmtId="0" fontId="56" fillId="0" borderId="27" xfId="0" applyFont="1" applyBorder="1" applyAlignment="1">
      <alignment horizontal="center" wrapText="1"/>
    </xf>
    <xf numFmtId="0" fontId="16" fillId="63" borderId="29" xfId="0" applyFont="1" applyFill="1" applyBorder="1" applyAlignment="1">
      <alignment wrapText="1"/>
    </xf>
    <xf numFmtId="0" fontId="0" fillId="0" borderId="28" xfId="0" applyBorder="1" applyAlignment="1">
      <alignment wrapText="1"/>
    </xf>
    <xf numFmtId="0" fontId="79" fillId="0" borderId="0" xfId="0" applyFont="1" applyAlignment="1" applyProtection="1">
      <alignment horizontal="center"/>
      <protection locked="0"/>
    </xf>
    <xf numFmtId="0" fontId="63" fillId="68" borderId="65" xfId="103" applyFont="1" applyFill="1" applyBorder="1" applyAlignment="1">
      <alignment horizontal="center" vertical="center"/>
    </xf>
    <xf numFmtId="0" fontId="63" fillId="68" borderId="66" xfId="103" applyFont="1" applyFill="1" applyBorder="1" applyAlignment="1">
      <alignment horizontal="center" vertical="center"/>
    </xf>
    <xf numFmtId="0" fontId="63" fillId="68" borderId="67" xfId="103" applyFont="1" applyFill="1" applyBorder="1" applyAlignment="1">
      <alignment horizontal="center" vertical="center"/>
    </xf>
    <xf numFmtId="0" fontId="56" fillId="62" borderId="27" xfId="0" applyFont="1" applyFill="1" applyBorder="1" applyAlignment="1">
      <alignment horizontal="center"/>
    </xf>
    <xf numFmtId="0" fontId="56" fillId="62" borderId="44" xfId="0" applyFont="1" applyFill="1" applyBorder="1" applyAlignment="1">
      <alignment horizontal="center"/>
    </xf>
    <xf numFmtId="0" fontId="0" fillId="0" borderId="46" xfId="0" applyFont="1" applyBorder="1" applyAlignment="1">
      <alignment horizontal="left" vertical="top"/>
    </xf>
    <xf numFmtId="0" fontId="56" fillId="0" borderId="47" xfId="0" applyFont="1" applyBorder="1" applyAlignment="1">
      <alignment horizontal="left" vertical="top"/>
    </xf>
    <xf numFmtId="0" fontId="56" fillId="0" borderId="48" xfId="0" applyFont="1" applyBorder="1" applyAlignment="1">
      <alignment horizontal="left" vertical="top"/>
    </xf>
    <xf numFmtId="0" fontId="56" fillId="0" borderId="23" xfId="0" applyFont="1" applyBorder="1" applyAlignment="1">
      <alignment horizontal="left" vertical="top"/>
    </xf>
    <xf numFmtId="44" fontId="0" fillId="66" borderId="27" xfId="0" applyNumberFormat="1" applyFill="1" applyBorder="1" applyAlignment="1">
      <alignment horizontal="center"/>
    </xf>
    <xf numFmtId="0" fontId="0" fillId="66" borderId="27" xfId="0" applyFill="1" applyBorder="1" applyAlignment="1"/>
    <xf numFmtId="0" fontId="16" fillId="63" borderId="48" xfId="0" applyFont="1" applyFill="1" applyBorder="1" applyAlignment="1">
      <alignment wrapText="1"/>
    </xf>
    <xf numFmtId="0" fontId="0" fillId="0" borderId="74" xfId="0" applyBorder="1" applyAlignment="1">
      <alignment wrapText="1"/>
    </xf>
    <xf numFmtId="0" fontId="0" fillId="0" borderId="29" xfId="0" applyFill="1" applyBorder="1" applyAlignment="1">
      <alignment horizontal="left" vertical="top" wrapText="1"/>
    </xf>
    <xf numFmtId="0" fontId="0" fillId="0" borderId="28" xfId="0" applyFill="1"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56" fillId="0" borderId="22" xfId="0" applyFont="1" applyBorder="1" applyAlignment="1">
      <alignment horizontal="center"/>
    </xf>
    <xf numFmtId="0" fontId="56" fillId="0" borderId="25" xfId="0" applyFont="1" applyBorder="1" applyAlignment="1">
      <alignment horizontal="center"/>
    </xf>
    <xf numFmtId="0" fontId="56" fillId="0" borderId="27" xfId="0" applyFont="1" applyBorder="1" applyAlignment="1">
      <alignment horizontal="center"/>
    </xf>
    <xf numFmtId="0" fontId="56" fillId="0" borderId="29" xfId="0" applyFont="1" applyBorder="1" applyAlignment="1">
      <alignment horizontal="center"/>
    </xf>
    <xf numFmtId="0" fontId="56" fillId="0" borderId="28" xfId="0" applyFont="1" applyBorder="1" applyAlignment="1">
      <alignment horizontal="center"/>
    </xf>
    <xf numFmtId="0" fontId="63" fillId="44" borderId="40" xfId="103" applyFont="1" applyBorder="1" applyAlignment="1">
      <alignment horizontal="center"/>
    </xf>
    <xf numFmtId="0" fontId="63" fillId="44" borderId="41" xfId="103" applyFont="1" applyBorder="1" applyAlignment="1">
      <alignment horizontal="center"/>
    </xf>
    <xf numFmtId="0" fontId="63" fillId="44" borderId="42" xfId="103" applyFont="1" applyBorder="1" applyAlignment="1">
      <alignment horizontal="center"/>
    </xf>
    <xf numFmtId="0" fontId="53" fillId="63" borderId="27" xfId="0" applyFont="1" applyFill="1" applyBorder="1" applyAlignment="1">
      <alignment horizontal="center"/>
    </xf>
    <xf numFmtId="0" fontId="54" fillId="0" borderId="0" xfId="0" applyFont="1" applyAlignment="1">
      <alignment horizontal="center"/>
    </xf>
    <xf numFmtId="0" fontId="59" fillId="0" borderId="0" xfId="0" applyFont="1" applyFill="1" applyBorder="1" applyAlignment="1">
      <alignment horizontal="center"/>
    </xf>
    <xf numFmtId="0" fontId="64" fillId="0" borderId="0" xfId="0" applyFont="1" applyFill="1" applyBorder="1" applyAlignment="1">
      <alignment horizontal="center" vertical="top"/>
    </xf>
    <xf numFmtId="0" fontId="0" fillId="0" borderId="0" xfId="0" applyFill="1" applyAlignment="1">
      <alignment horizontal="center" wrapText="1"/>
    </xf>
    <xf numFmtId="0" fontId="0" fillId="0" borderId="0" xfId="0" applyFill="1" applyAlignment="1">
      <alignment horizontal="center"/>
    </xf>
    <xf numFmtId="0" fontId="0" fillId="0" borderId="23" xfId="0" applyBorder="1" applyAlignment="1">
      <alignment horizontal="center"/>
    </xf>
    <xf numFmtId="0" fontId="0" fillId="65" borderId="29" xfId="0" quotePrefix="1" applyFill="1" applyBorder="1" applyAlignment="1">
      <alignment horizontal="center" wrapText="1"/>
    </xf>
    <xf numFmtId="0" fontId="0" fillId="65" borderId="43" xfId="0" applyFill="1" applyBorder="1" applyAlignment="1">
      <alignment horizontal="center" wrapText="1"/>
    </xf>
    <xf numFmtId="0" fontId="0" fillId="65" borderId="28" xfId="0" applyFill="1" applyBorder="1" applyAlignment="1">
      <alignment horizontal="center" wrapText="1"/>
    </xf>
    <xf numFmtId="0" fontId="0" fillId="66" borderId="29" xfId="0" quotePrefix="1" applyFill="1" applyBorder="1" applyAlignment="1">
      <alignment horizontal="center" wrapText="1"/>
    </xf>
    <xf numFmtId="0" fontId="0" fillId="66" borderId="43" xfId="0" applyFill="1" applyBorder="1" applyAlignment="1">
      <alignment horizontal="center" wrapText="1"/>
    </xf>
    <xf numFmtId="0" fontId="0" fillId="66" borderId="28" xfId="0" applyFill="1" applyBorder="1" applyAlignment="1">
      <alignment horizontal="center" wrapText="1"/>
    </xf>
  </cellXfs>
  <cellStyles count="288">
    <cellStyle name="]_x000d__x000a_Zoomed=1_x000d__x000a_Row=0_x000d__x000a_Column=0_x000d__x000a_Height=0_x000d__x000a_Width=0_x000d__x000a_FontName=FoxFont_x000d__x000a_FontStyle=0_x000d__x000a_FontSize=9_x000d__x000a_PrtFontName=FoxPrin" xfId="13"/>
    <cellStyle name="]_x000d__x000a_Zoomed=1_x000d__x000a_Row=0_x000d__x000a_Column=0_x000d__x000a_Height=0_x000d__x000a_Width=0_x000d__x000a_FontName=FoxFont_x000d__x000a_FontStyle=0_x000d__x000a_FontSize=9_x000d__x000a_PrtFontName=FoxPrin 2" xfId="14"/>
    <cellStyle name="]_x000d__x000a_Zoomed=1_x000d__x000a_Row=0_x000d__x000a_Column=0_x000d__x000a_Height=0_x000d__x000a_Width=0_x000d__x000a_FontName=FoxFont_x000d__x000a_FontStyle=0_x000d__x000a_FontSize=9_x000d__x000a_PrtFontName=FoxPrin 2 2" xfId="15"/>
    <cellStyle name="]_x000d__x000a_Zoomed=1_x000d__x000a_Row=0_x000d__x000a_Column=0_x000d__x000a_Height=0_x000d__x000a_Width=0_x000d__x000a_FontName=FoxFont_x000d__x000a_FontStyle=0_x000d__x000a_FontSize=9_x000d__x000a_PrtFontName=FoxPrin 2 2 2" xfId="256"/>
    <cellStyle name="]_x000d__x000a_Zoomed=1_x000d__x000a_Row=0_x000d__x000a_Column=0_x000d__x000a_Height=0_x000d__x000a_Width=0_x000d__x000a_FontName=FoxFont_x000d__x000a_FontStyle=0_x000d__x000a_FontSize=9_x000d__x000a_PrtFontName=FoxPrin 2 3" xfId="257"/>
    <cellStyle name="]_x000d__x000a_Zoomed=1_x000d__x000a_Row=0_x000d__x000a_Column=0_x000d__x000a_Height=0_x000d__x000a_Width=0_x000d__x000a_FontName=FoxFont_x000d__x000a_FontStyle=0_x000d__x000a_FontSize=9_x000d__x000a_PrtFontName=FoxPrin 3" xfId="16"/>
    <cellStyle name="]_x000d__x000a_Zoomed=1_x000d__x000a_Row=0_x000d__x000a_Column=0_x000d__x000a_Height=0_x000d__x000a_Width=0_x000d__x000a_FontName=FoxFont_x000d__x000a_FontStyle=0_x000d__x000a_FontSize=9_x000d__x000a_PrtFontName=FoxPrin 3 2" xfId="258"/>
    <cellStyle name="]_x000d__x000a_Zoomed=1_x000d__x000a_Row=0_x000d__x000a_Column=0_x000d__x000a_Height=0_x000d__x000a_Width=0_x000d__x000a_FontName=FoxFont_x000d__x000a_FontStyle=0_x000d__x000a_FontSize=9_x000d__x000a_PrtFontName=FoxPrin 4" xfId="259"/>
    <cellStyle name="20% - Accent1 2" xfId="17"/>
    <cellStyle name="20% - Accent1 2 2" xfId="18"/>
    <cellStyle name="20% - Accent1 3" xfId="19"/>
    <cellStyle name="20% - Accent1 3 2" xfId="20"/>
    <cellStyle name="20% - Accent1 3 3" xfId="21"/>
    <cellStyle name="20% - Accent1 3 4" xfId="22"/>
    <cellStyle name="20% - Accent1 4" xfId="23"/>
    <cellStyle name="20% - Accent2 2" xfId="24"/>
    <cellStyle name="20% - Accent2 2 2" xfId="25"/>
    <cellStyle name="20% - Accent2 3" xfId="26"/>
    <cellStyle name="20% - Accent2 3 2" xfId="27"/>
    <cellStyle name="20% - Accent2 3 3" xfId="28"/>
    <cellStyle name="20% - Accent2 3 4" xfId="29"/>
    <cellStyle name="20% - Accent2 4" xfId="30"/>
    <cellStyle name="20% - Accent3 2" xfId="31"/>
    <cellStyle name="20% - Accent3 2 2" xfId="32"/>
    <cellStyle name="20% - Accent3 3" xfId="33"/>
    <cellStyle name="20% - Accent3 3 2" xfId="34"/>
    <cellStyle name="20% - Accent3 3 3" xfId="35"/>
    <cellStyle name="20% - Accent3 3 4" xfId="36"/>
    <cellStyle name="20% - Accent3 4" xfId="37"/>
    <cellStyle name="20% - Accent4 2" xfId="38"/>
    <cellStyle name="20% - Accent4 2 2" xfId="39"/>
    <cellStyle name="20% - Accent4 3" xfId="40"/>
    <cellStyle name="20% - Accent4 3 2" xfId="41"/>
    <cellStyle name="20% - Accent4 3 3" xfId="42"/>
    <cellStyle name="20% - Accent4 3 4" xfId="43"/>
    <cellStyle name="20% - Accent4 4" xfId="44"/>
    <cellStyle name="20% - Accent5 2" xfId="45"/>
    <cellStyle name="20% - Accent5 2 2" xfId="46"/>
    <cellStyle name="20% - Accent5 3" xfId="47"/>
    <cellStyle name="20% - Accent5 3 2" xfId="48"/>
    <cellStyle name="20% - Accent5 3 3" xfId="49"/>
    <cellStyle name="20% - Accent5 3 4" xfId="50"/>
    <cellStyle name="20% - Accent5 4" xfId="51"/>
    <cellStyle name="20% - Accent6 2" xfId="52"/>
    <cellStyle name="20% - Accent6 2 2" xfId="53"/>
    <cellStyle name="20% - Accent6 3" xfId="54"/>
    <cellStyle name="20% - Accent6 3 2" xfId="55"/>
    <cellStyle name="20% - Accent6 3 3" xfId="56"/>
    <cellStyle name="20% - Accent6 3 4" xfId="57"/>
    <cellStyle name="20% - Accent6 4" xfId="58"/>
    <cellStyle name="40% - Accent1 2" xfId="59"/>
    <cellStyle name="40% - Accent1 2 2" xfId="60"/>
    <cellStyle name="40% - Accent1 3" xfId="61"/>
    <cellStyle name="40% - Accent1 3 2" xfId="62"/>
    <cellStyle name="40% - Accent1 3 3" xfId="63"/>
    <cellStyle name="40% - Accent1 3 4" xfId="64"/>
    <cellStyle name="40% - Accent1 4" xfId="65"/>
    <cellStyle name="40% - Accent2 2" xfId="66"/>
    <cellStyle name="40% - Accent2 2 2" xfId="67"/>
    <cellStyle name="40% - Accent2 3" xfId="68"/>
    <cellStyle name="40% - Accent2 3 2" xfId="69"/>
    <cellStyle name="40% - Accent2 3 3" xfId="70"/>
    <cellStyle name="40% - Accent2 3 4" xfId="71"/>
    <cellStyle name="40% - Accent2 4" xfId="72"/>
    <cellStyle name="40% - Accent3 2" xfId="73"/>
    <cellStyle name="40% - Accent3 2 2" xfId="74"/>
    <cellStyle name="40% - Accent3 3" xfId="75"/>
    <cellStyle name="40% - Accent3 3 2" xfId="76"/>
    <cellStyle name="40% - Accent3 3 3" xfId="77"/>
    <cellStyle name="40% - Accent3 3 4" xfId="78"/>
    <cellStyle name="40% - Accent3 4" xfId="79"/>
    <cellStyle name="40% - Accent4 2" xfId="80"/>
    <cellStyle name="40% - Accent4 2 2" xfId="81"/>
    <cellStyle name="40% - Accent4 3" xfId="82"/>
    <cellStyle name="40% - Accent4 3 2" xfId="83"/>
    <cellStyle name="40% - Accent4 3 3" xfId="84"/>
    <cellStyle name="40% - Accent4 3 4" xfId="85"/>
    <cellStyle name="40% - Accent4 4" xfId="86"/>
    <cellStyle name="40% - Accent5 2" xfId="87"/>
    <cellStyle name="40% - Accent5 2 2" xfId="88"/>
    <cellStyle name="40% - Accent5 3" xfId="89"/>
    <cellStyle name="40% - Accent5 3 2" xfId="90"/>
    <cellStyle name="40% - Accent5 3 3" xfId="91"/>
    <cellStyle name="40% - Accent5 3 4" xfId="92"/>
    <cellStyle name="40% - Accent5 4" xfId="93"/>
    <cellStyle name="40% - Accent6 2" xfId="94"/>
    <cellStyle name="40% - Accent6 2 2" xfId="95"/>
    <cellStyle name="40% - Accent6 3" xfId="96"/>
    <cellStyle name="40% - Accent6 3 2" xfId="97"/>
    <cellStyle name="40% - Accent6 3 3" xfId="98"/>
    <cellStyle name="40% - Accent6 3 4" xfId="99"/>
    <cellStyle name="40% - Accent6 4" xfId="100"/>
    <cellStyle name="60% - Accent1 2" xfId="101"/>
    <cellStyle name="60% - Accent1 2 2" xfId="102"/>
    <cellStyle name="60% - Accent1 3" xfId="103"/>
    <cellStyle name="60% - Accent2 2" xfId="104"/>
    <cellStyle name="60% - Accent2 2 2" xfId="105"/>
    <cellStyle name="60% - Accent2 3" xfId="106"/>
    <cellStyle name="60% - Accent3 2" xfId="107"/>
    <cellStyle name="60% - Accent3 2 2" xfId="108"/>
    <cellStyle name="60% - Accent3 3" xfId="109"/>
    <cellStyle name="60% - Accent4 2" xfId="110"/>
    <cellStyle name="60% - Accent4 2 2" xfId="111"/>
    <cellStyle name="60% - Accent4 3" xfId="112"/>
    <cellStyle name="60% - Accent5 2" xfId="113"/>
    <cellStyle name="60% - Accent5 2 2" xfId="114"/>
    <cellStyle name="60% - Accent5 3" xfId="115"/>
    <cellStyle name="60% - Accent6 2" xfId="116"/>
    <cellStyle name="60% - Accent6 2 2" xfId="117"/>
    <cellStyle name="60% - Accent6 3" xfId="118"/>
    <cellStyle name="Accent1 2" xfId="119"/>
    <cellStyle name="Accent1 2 2" xfId="120"/>
    <cellStyle name="Accent1 3" xfId="121"/>
    <cellStyle name="Accent1 4" xfId="286"/>
    <cellStyle name="Accent2 2" xfId="122"/>
    <cellStyle name="Accent2 2 2" xfId="123"/>
    <cellStyle name="Accent2 3" xfId="124"/>
    <cellStyle name="Accent3 2" xfId="125"/>
    <cellStyle name="Accent3 2 2" xfId="126"/>
    <cellStyle name="Accent3 3" xfId="127"/>
    <cellStyle name="Accent4 2" xfId="128"/>
    <cellStyle name="Accent4 2 2" xfId="129"/>
    <cellStyle name="Accent4 3" xfId="130"/>
    <cellStyle name="Accent5 2" xfId="131"/>
    <cellStyle name="Accent5 2 2" xfId="132"/>
    <cellStyle name="Accent5 3" xfId="133"/>
    <cellStyle name="Accent6 2" xfId="134"/>
    <cellStyle name="Accent6 2 2" xfId="135"/>
    <cellStyle name="Accent6 3" xfId="136"/>
    <cellStyle name="Bad 2" xfId="137"/>
    <cellStyle name="Bad 2 2" xfId="138"/>
    <cellStyle name="Bad 3" xfId="139"/>
    <cellStyle name="c9d313ff6a_18" xfId="140"/>
    <cellStyle name="Calculation 2" xfId="4"/>
    <cellStyle name="Calculation 2 2" xfId="141"/>
    <cellStyle name="Calculation 3" xfId="142"/>
    <cellStyle name="Check Cell 2" xfId="143"/>
    <cellStyle name="Check Cell 2 2" xfId="144"/>
    <cellStyle name="Check Cell 3" xfId="145"/>
    <cellStyle name="Comma 2" xfId="12"/>
    <cellStyle name="Comma 2 2" xfId="146"/>
    <cellStyle name="Comma 3" xfId="147"/>
    <cellStyle name="Comma 3 2" xfId="260"/>
    <cellStyle name="Comma 4" xfId="148"/>
    <cellStyle name="Comma 4 2" xfId="261"/>
    <cellStyle name="Comma 5" xfId="281"/>
    <cellStyle name="Comma 6" xfId="3"/>
    <cellStyle name="Currency 2" xfId="149"/>
    <cellStyle name="Currency 2 2" xfId="262"/>
    <cellStyle name="Explanatory Text 2" xfId="150"/>
    <cellStyle name="Explanatory Text 2 2" xfId="151"/>
    <cellStyle name="Explanatory Text 3" xfId="152"/>
    <cellStyle name="Followed Hyperlink 2" xfId="153"/>
    <cellStyle name="Good" xfId="1" builtinId="26"/>
    <cellStyle name="Good 2" xfId="5"/>
    <cellStyle name="Good 2 2" xfId="154"/>
    <cellStyle name="Good 3" xfId="155"/>
    <cellStyle name="Heading 1 2" xfId="156"/>
    <cellStyle name="Heading 1 3" xfId="157"/>
    <cellStyle name="Heading 1 4" xfId="158"/>
    <cellStyle name="Heading 2 2" xfId="6"/>
    <cellStyle name="Heading 2 2 2" xfId="159"/>
    <cellStyle name="Heading 2 3" xfId="160"/>
    <cellStyle name="Heading 3 2" xfId="161"/>
    <cellStyle name="Heading 3 2 2" xfId="162"/>
    <cellStyle name="Heading 3 3" xfId="163"/>
    <cellStyle name="Heading 4 2" xfId="164"/>
    <cellStyle name="Heading 4 2 2" xfId="165"/>
    <cellStyle name="Heading 4 3" xfId="166"/>
    <cellStyle name="Hyperlink 2" xfId="167"/>
    <cellStyle name="Hyperlink 2 2" xfId="168"/>
    <cellStyle name="Hyperlink 2 3" xfId="169"/>
    <cellStyle name="Hyperlink 2 4" xfId="170"/>
    <cellStyle name="Hyperlink 2 4 2" xfId="282"/>
    <cellStyle name="Hyperlink 2 5" xfId="171"/>
    <cellStyle name="Hyperlink 3" xfId="172"/>
    <cellStyle name="Hyperlink 3 2" xfId="173"/>
    <cellStyle name="Hyperlink 3 2 2" xfId="174"/>
    <cellStyle name="Hyperlink 4" xfId="175"/>
    <cellStyle name="Input 2" xfId="7"/>
    <cellStyle name="Input 2 2" xfId="176"/>
    <cellStyle name="Input 3" xfId="177"/>
    <cellStyle name="KPMG Heading 1" xfId="178"/>
    <cellStyle name="KPMG Heading 2" xfId="179"/>
    <cellStyle name="KPMG Heading 3" xfId="180"/>
    <cellStyle name="KPMG Heading 4" xfId="181"/>
    <cellStyle name="KPMG Normal" xfId="182"/>
    <cellStyle name="KPMG Normal Text" xfId="183"/>
    <cellStyle name="Linked Cell 2" xfId="184"/>
    <cellStyle name="Linked Cell 2 2" xfId="185"/>
    <cellStyle name="Linked Cell 3" xfId="186"/>
    <cellStyle name="Neutral 2" xfId="187"/>
    <cellStyle name="Neutral 2 2" xfId="188"/>
    <cellStyle name="Neutral 3" xfId="189"/>
    <cellStyle name="Normal" xfId="0" builtinId="0"/>
    <cellStyle name="Normal 10" xfId="190"/>
    <cellStyle name="Normal 11" xfId="191"/>
    <cellStyle name="Normal 11 2" xfId="192"/>
    <cellStyle name="Normal 11 3" xfId="193"/>
    <cellStyle name="Normal 11 4" xfId="283"/>
    <cellStyle name="Normal 12" xfId="194"/>
    <cellStyle name="Normal 12 2" xfId="263"/>
    <cellStyle name="Normal 13" xfId="195"/>
    <cellStyle name="Normal 14" xfId="279"/>
    <cellStyle name="Normal 15" xfId="2"/>
    <cellStyle name="Normal 2" xfId="8"/>
    <cellStyle name="Normal 2 2" xfId="9"/>
    <cellStyle name="Normal 2 2 2" xfId="196"/>
    <cellStyle name="Normal 2 2 2 2" xfId="264"/>
    <cellStyle name="Normal 2 2 3" xfId="265"/>
    <cellStyle name="Normal 2 3" xfId="197"/>
    <cellStyle name="Normal 2 3 2" xfId="198"/>
    <cellStyle name="Normal 2 3 2 2" xfId="266"/>
    <cellStyle name="Normal 2 3 3" xfId="199"/>
    <cellStyle name="Normal 2 3 3 2" xfId="200"/>
    <cellStyle name="Normal 2 3 3 2 2" xfId="267"/>
    <cellStyle name="Normal 2 3 3 3" xfId="268"/>
    <cellStyle name="Normal 2 3 4" xfId="269"/>
    <cellStyle name="Normal 2 4" xfId="201"/>
    <cellStyle name="Normal 2 4 2" xfId="202"/>
    <cellStyle name="Normal 2 5" xfId="203"/>
    <cellStyle name="Normal 2 5 2" xfId="204"/>
    <cellStyle name="Normal 2 5 2 2" xfId="270"/>
    <cellStyle name="Normal 2 5 3" xfId="205"/>
    <cellStyle name="Normal 2 6" xfId="206"/>
    <cellStyle name="Normal 2 6 2" xfId="207"/>
    <cellStyle name="Normal 2 6 2 2" xfId="271"/>
    <cellStyle name="Normal 2 7" xfId="208"/>
    <cellStyle name="Normal 2 8" xfId="209"/>
    <cellStyle name="Normal 2 8 2" xfId="272"/>
    <cellStyle name="Normal 2 9" xfId="284"/>
    <cellStyle name="Normal 3" xfId="11"/>
    <cellStyle name="Normal 3 2" xfId="210"/>
    <cellStyle name="Normal 3 2 2" xfId="211"/>
    <cellStyle name="Normal 3 2 2 2" xfId="212"/>
    <cellStyle name="Normal 3 2 3" xfId="213"/>
    <cellStyle name="Normal 3 3" xfId="214"/>
    <cellStyle name="Normal 3 3 2" xfId="273"/>
    <cellStyle name="Normal 3 4" xfId="215"/>
    <cellStyle name="Normal 3 4 2" xfId="216"/>
    <cellStyle name="Normal 3 4 2 2" xfId="217"/>
    <cellStyle name="Normal 3 4 2 3" xfId="274"/>
    <cellStyle name="Normal 3 5" xfId="275"/>
    <cellStyle name="Normal 4" xfId="218"/>
    <cellStyle name="Normal 4 2" xfId="219"/>
    <cellStyle name="Normal 4 2 2" xfId="220"/>
    <cellStyle name="Normal 4 3" xfId="221"/>
    <cellStyle name="Normal 5" xfId="222"/>
    <cellStyle name="Normal 5 2" xfId="223"/>
    <cellStyle name="Normal 6" xfId="224"/>
    <cellStyle name="Normal 6 2" xfId="225"/>
    <cellStyle name="Normal 6 2 2" xfId="226"/>
    <cellStyle name="Normal 6 3" xfId="227"/>
    <cellStyle name="Normal 6 3 2" xfId="228"/>
    <cellStyle name="Normal 6 3 2 2" xfId="276"/>
    <cellStyle name="Normal 6 3 3" xfId="277"/>
    <cellStyle name="Normal 6 4" xfId="229"/>
    <cellStyle name="Normal 6 5" xfId="230"/>
    <cellStyle name="Normal 6 6" xfId="285"/>
    <cellStyle name="Normal 7" xfId="231"/>
    <cellStyle name="Normal 7 2" xfId="232"/>
    <cellStyle name="Normal 8" xfId="233"/>
    <cellStyle name="Normal 8 2" xfId="234"/>
    <cellStyle name="Normal 9" xfId="235"/>
    <cellStyle name="Normal 9 2" xfId="278"/>
    <cellStyle name="Normal_Tenancies" xfId="287"/>
    <cellStyle name="Note 2" xfId="236"/>
    <cellStyle name="Note 2 2" xfId="237"/>
    <cellStyle name="Note 2 3" xfId="238"/>
    <cellStyle name="Note 2 3 2" xfId="239"/>
    <cellStyle name="Note 2 4" xfId="240"/>
    <cellStyle name="Note 2 5" xfId="241"/>
    <cellStyle name="Note 3" xfId="242"/>
    <cellStyle name="Note 3 2" xfId="243"/>
    <cellStyle name="Note 3 3" xfId="244"/>
    <cellStyle name="Output 2" xfId="10"/>
    <cellStyle name="Output 2 2" xfId="245"/>
    <cellStyle name="Output 3" xfId="246"/>
    <cellStyle name="Style 1" xfId="280"/>
    <cellStyle name="Title 2" xfId="247"/>
    <cellStyle name="Title 2 2" xfId="248"/>
    <cellStyle name="Title 3" xfId="249"/>
    <cellStyle name="Total 2" xfId="250"/>
    <cellStyle name="Total 2 2" xfId="251"/>
    <cellStyle name="Total 3" xfId="252"/>
    <cellStyle name="Warning Text 2" xfId="253"/>
    <cellStyle name="Warning Text 2 2" xfId="254"/>
    <cellStyle name="Warning Text 3" xfId="255"/>
  </cellStyles>
  <dxfs count="131">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none"/>
      </font>
      <fill>
        <patternFill patternType="none">
          <fgColor rgb="FF000000"/>
          <bgColor auto="1"/>
        </patternFill>
      </fill>
    </dxf>
    <dxf>
      <font>
        <b/>
        <i val="0"/>
        <strike val="0"/>
        <condense val="0"/>
        <extend val="0"/>
        <outline val="0"/>
        <shadow val="0"/>
        <u val="none"/>
        <vertAlign val="baseline"/>
        <sz val="11"/>
        <color theme="0"/>
        <name val="Book Antiqua"/>
        <scheme val="none"/>
      </font>
      <fill>
        <patternFill patternType="solid">
          <fgColor indexed="64"/>
          <bgColor theme="9" tint="-0.249977111117893"/>
        </patternFill>
      </fill>
      <alignment horizontal="general"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dxf>
    <dxf>
      <font>
        <b/>
        <i val="0"/>
        <strike val="0"/>
        <condense val="0"/>
        <extend val="0"/>
        <outline val="0"/>
        <shadow val="0"/>
        <u val="none"/>
        <vertAlign val="baseline"/>
        <sz val="11"/>
        <color theme="0"/>
        <name val="Book Antiqua"/>
        <scheme val="none"/>
      </font>
      <fill>
        <patternFill patternType="solid">
          <fgColor indexed="64"/>
          <bgColor theme="9" tint="-0.249977111117893"/>
        </patternFill>
      </fill>
      <alignment horizontal="general"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34" formatCode="_-&quot;£&quot;* #,##0.00_-;\-&quot;£&quot;* #,##0.00_-;_-&quot;£&quot;*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numFmt numFmtId="2" formatCode="0.00"/>
      <fill>
        <patternFill patternType="none">
          <fgColor indexed="64"/>
          <bgColor auto="1"/>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auto="1"/>
        </right>
        <bottom style="thin">
          <color auto="1"/>
        </bottom>
      </border>
    </dxf>
    <dxf>
      <font>
        <strike val="0"/>
        <outline val="0"/>
        <shadow val="0"/>
        <u val="none"/>
        <vertAlign val="baseline"/>
        <sz val="10"/>
        <name val="Calibri"/>
        <scheme val="minor"/>
      </font>
      <fill>
        <patternFill patternType="none">
          <fgColor indexed="64"/>
          <bgColor auto="1"/>
        </patternFill>
      </fill>
    </dxf>
    <dxf>
      <font>
        <b/>
        <i val="0"/>
        <strike val="0"/>
        <condense val="0"/>
        <extend val="0"/>
        <outline val="0"/>
        <shadow val="0"/>
        <u val="none"/>
        <vertAlign val="baseline"/>
        <sz val="11"/>
        <color theme="0"/>
        <name val="Book Antiqua"/>
        <scheme val="none"/>
      </font>
      <fill>
        <patternFill patternType="solid">
          <fgColor indexed="64"/>
          <bgColor theme="5"/>
        </patternFill>
      </fill>
      <alignment horizontal="general" vertical="top" textRotation="0" wrapText="1" indent="0" justifyLastLine="0" shrinkToFit="0" readingOrder="0"/>
      <border diagonalUp="0" diagonalDown="0" outline="0">
        <left style="thin">
          <color auto="1"/>
        </left>
        <right style="thin">
          <color auto="1"/>
        </right>
        <top/>
        <bottom/>
      </border>
    </dxf>
    <dxf>
      <numFmt numFmtId="0" formatCode="General"/>
    </dxf>
    <dxf>
      <numFmt numFmtId="13" formatCode="0%"/>
    </dxf>
    <dxf>
      <numFmt numFmtId="0" formatCode="General"/>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9" formatCode="&quot;£&quot;#,##0;\-&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70" formatCode="#,##0_ ;\-#,##0\ "/>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4" formatCode="_-&quot;£&quot;* #,##0.00_-;\-&quot;£&quot;* #,##0.0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4" formatCode="_-&quot;£&quot;* #,##0.00_-;\-&quot;£&quot;* #,##0.0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4" formatCode="_-&quot;£&quot;* #,##0.00_-;\-&quot;£&quot;* #,##0.0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dxf>
    <dxf>
      <border>
        <bottom style="thin">
          <color indexed="64"/>
        </bottom>
      </border>
    </dxf>
    <dxf>
      <font>
        <b/>
        <i val="0"/>
        <strike val="0"/>
        <condense val="0"/>
        <extend val="0"/>
        <outline val="0"/>
        <shadow val="0"/>
        <u val="none"/>
        <vertAlign val="baseline"/>
        <sz val="10"/>
        <color theme="0"/>
        <name val="Calibri"/>
        <scheme val="minor"/>
      </font>
      <numFmt numFmtId="0" formatCode="General"/>
      <fill>
        <patternFill patternType="solid">
          <fgColor indexed="64"/>
          <bgColor theme="9" tint="-0.499984740745262"/>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DFFFE"/>
      <color rgb="FF00AAA6"/>
      <color rgb="FFFF434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28575</xdr:rowOff>
    </xdr:from>
    <xdr:to>
      <xdr:col>9</xdr:col>
      <xdr:colOff>533400</xdr:colOff>
      <xdr:row>2</xdr:row>
      <xdr:rowOff>180975</xdr:rowOff>
    </xdr:to>
    <xdr:pic>
      <xdr:nvPicPr>
        <xdr:cNvPr id="2" name="Picture 14" descr="FreeAgent Drive:Job Folder:Current Jobs:Raffertys:NHSPS:Templates:Logos:NHSPS Logo.ep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0" y="28575"/>
          <a:ext cx="18288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133350</xdr:colOff>
      <xdr:row>0</xdr:row>
      <xdr:rowOff>38100</xdr:rowOff>
    </xdr:from>
    <xdr:to>
      <xdr:col>2</xdr:col>
      <xdr:colOff>581025</xdr:colOff>
      <xdr:row>2</xdr:row>
      <xdr:rowOff>171450</xdr:rowOff>
    </xdr:to>
    <xdr:pic>
      <xdr:nvPicPr>
        <xdr:cNvPr id="3" name="Picture 15" descr="FreeAgent Drive:Job Folder:Current Jobs:Raffertys:NHSPS:Templates:Logos:QHE Logo.ep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38100"/>
          <a:ext cx="10572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140073</xdr:colOff>
      <xdr:row>48</xdr:row>
      <xdr:rowOff>100855</xdr:rowOff>
    </xdr:from>
    <xdr:to>
      <xdr:col>2</xdr:col>
      <xdr:colOff>1114984</xdr:colOff>
      <xdr:row>53</xdr:row>
      <xdr:rowOff>179296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955" y="11631708"/>
          <a:ext cx="1131794" cy="1131794"/>
        </a:xfrm>
        <a:prstGeom prst="rect">
          <a:avLst/>
        </a:prstGeom>
      </xdr:spPr>
    </xdr:pic>
    <xdr:clientData/>
  </xdr:twoCellAnchor>
  <xdr:twoCellAnchor editAs="oneCell">
    <xdr:from>
      <xdr:col>1</xdr:col>
      <xdr:colOff>134470</xdr:colOff>
      <xdr:row>54</xdr:row>
      <xdr:rowOff>93384</xdr:rowOff>
    </xdr:from>
    <xdr:to>
      <xdr:col>2</xdr:col>
      <xdr:colOff>1120587</xdr:colOff>
      <xdr:row>59</xdr:row>
      <xdr:rowOff>183031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352" y="12868090"/>
          <a:ext cx="1143000" cy="1143000"/>
        </a:xfrm>
        <a:prstGeom prst="rect">
          <a:avLst/>
        </a:prstGeom>
      </xdr:spPr>
    </xdr:pic>
    <xdr:clientData/>
  </xdr:twoCellAnchor>
  <xdr:twoCellAnchor editAs="oneCell">
    <xdr:from>
      <xdr:col>1</xdr:col>
      <xdr:colOff>134470</xdr:colOff>
      <xdr:row>60</xdr:row>
      <xdr:rowOff>97119</xdr:rowOff>
    </xdr:from>
    <xdr:to>
      <xdr:col>2</xdr:col>
      <xdr:colOff>1120587</xdr:colOff>
      <xdr:row>65</xdr:row>
      <xdr:rowOff>186766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1352" y="14115678"/>
          <a:ext cx="1143000" cy="1143000"/>
        </a:xfrm>
        <a:prstGeom prst="rect">
          <a:avLst/>
        </a:prstGeom>
      </xdr:spPr>
    </xdr:pic>
    <xdr:clientData/>
  </xdr:twoCellAnchor>
  <xdr:twoCellAnchor editAs="oneCell">
    <xdr:from>
      <xdr:col>1</xdr:col>
      <xdr:colOff>134470</xdr:colOff>
      <xdr:row>66</xdr:row>
      <xdr:rowOff>100854</xdr:rowOff>
    </xdr:from>
    <xdr:to>
      <xdr:col>2</xdr:col>
      <xdr:colOff>1120587</xdr:colOff>
      <xdr:row>71</xdr:row>
      <xdr:rowOff>156883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1352" y="15363266"/>
          <a:ext cx="1143000" cy="1143000"/>
        </a:xfrm>
        <a:prstGeom prst="rect">
          <a:avLst/>
        </a:prstGeom>
      </xdr:spPr>
    </xdr:pic>
    <xdr:clientData/>
  </xdr:twoCellAnchor>
</xdr:wsDr>
</file>

<file path=xl/tables/table1.xml><?xml version="1.0" encoding="utf-8"?>
<table xmlns="http://schemas.openxmlformats.org/spreadsheetml/2006/main" id="4" name="MasterList" displayName="MasterList" ref="C3:AW550" totalsRowShown="0" headerRowDxfId="130" dataDxfId="128" headerRowBorderDxfId="129" tableBorderDxfId="127" totalsRowBorderDxfId="126" headerRowCellStyle="Normal 3 4 2 2">
  <tableColumns count="47">
    <tableColumn id="4" name="Property Name" dataDxfId="125"/>
    <tableColumn id="46" name="Region" dataDxfId="124"/>
    <tableColumn id="45" name="Area" dataDxfId="123"/>
    <tableColumn id="5" name="Occupancy %" dataDxfId="122"/>
    <tableColumn id="15" name="Elec source" dataDxfId="121"/>
    <tableColumn id="3" name="Gas source" dataDxfId="120"/>
    <tableColumn id="2" name="Water source" dataDxfId="119"/>
    <tableColumn id="1" name="Elec Consumption" dataDxfId="118"/>
    <tableColumn id="6" name="Elec Cost" dataDxfId="117"/>
    <tableColumn id="7" name="Gas consumption" dataDxfId="116"/>
    <tableColumn id="8" name="Gas cost" dataDxfId="115"/>
    <tableColumn id="9" name="Water consumption 13" dataDxfId="114"/>
    <tableColumn id="10" name="Water consumption 14" dataDxfId="113"/>
    <tableColumn id="11" name="Water consumption 15" dataDxfId="112"/>
    <tableColumn id="12" name="Water cost 13" dataDxfId="111"/>
    <tableColumn id="13" name="Water cost 14" dataDxfId="110"/>
    <tableColumn id="14" name="Water cost 15" dataDxfId="109"/>
    <tableColumn id="16" name="Clinical waste vol 13" dataDxfId="108"/>
    <tableColumn id="17" name="Clinical waste vol 14" dataDxfId="107"/>
    <tableColumn id="18" name="Clinical waste vol 15" dataDxfId="106"/>
    <tableColumn id="19" name="Domestic waste vol 13" dataDxfId="105"/>
    <tableColumn id="20" name="Domestic waste vol 14" dataDxfId="104"/>
    <tableColumn id="21" name="Domestic waste vol 15" dataDxfId="103"/>
    <tableColumn id="22" name="Hazardous waste vol 13" dataDxfId="102"/>
    <tableColumn id="23" name="Hazardous waste vol 14" dataDxfId="101"/>
    <tableColumn id="24" name="Hazardous waste vol 15" dataDxfId="100"/>
    <tableColumn id="25" name="Recycling vol 13" dataDxfId="99"/>
    <tableColumn id="26" name="Recycling vol 14" dataDxfId="98"/>
    <tableColumn id="27" name="Recycling vol 15" dataDxfId="97"/>
    <tableColumn id="28" name="Confidential waste vol 13" dataDxfId="96"/>
    <tableColumn id="29" name="Confidential waste vol 14" dataDxfId="95"/>
    <tableColumn id="30" name="Confidential waste vol 15" dataDxfId="94"/>
    <tableColumn id="31" name="Clinical waste cost 13" dataDxfId="93"/>
    <tableColumn id="32" name="Clinical waste cost 14" dataDxfId="92"/>
    <tableColumn id="33" name="Clinical waste cost 15" dataDxfId="91"/>
    <tableColumn id="34" name="Domestic waste cost 13" dataDxfId="90"/>
    <tableColumn id="35" name="Domestic waste cost 14" dataDxfId="89"/>
    <tableColumn id="36" name="Domestic waste cost 15" dataDxfId="88"/>
    <tableColumn id="37" name="Hazardous waste cost 13" dataDxfId="87"/>
    <tableColumn id="38" name="Hazardous waste cost 14" dataDxfId="86"/>
    <tableColumn id="39" name="Hazardous waste cost 15" dataDxfId="85"/>
    <tableColumn id="40" name="Recycling cost 13" dataDxfId="84"/>
    <tableColumn id="41" name="Recycling cost 14" dataDxfId="83"/>
    <tableColumn id="42" name="Recycling cost 15" dataDxfId="82"/>
    <tableColumn id="43" name="Confidential waste cost 13" dataDxfId="81"/>
    <tableColumn id="44" name="Confidential waste cost 14" dataDxfId="80"/>
    <tableColumn id="47" name="Confidential waste cost 15" dataDxfId="79"/>
  </tableColumns>
  <tableStyleInfo name="TableStyleMedium2" showFirstColumn="0" showLastColumn="0" showRowStripes="0" showColumnStripes="0"/>
</table>
</file>

<file path=xl/tables/table2.xml><?xml version="1.0" encoding="utf-8"?>
<table xmlns="http://schemas.openxmlformats.org/spreadsheetml/2006/main" id="2" name="Table2" displayName="Table2" ref="A1:F176" totalsRowShown="0">
  <autoFilter ref="A1:F176">
    <filterColumn colId="4">
      <filters>
        <filter val="Under Review"/>
      </filters>
    </filterColumn>
  </autoFilter>
  <sortState ref="A2:F178">
    <sortCondition ref="C1:C189"/>
  </sortState>
  <tableColumns count="6">
    <tableColumn id="6" name="Column1"/>
    <tableColumn id="1" name="Property" dataDxfId="78">
      <calculatedColumnFormula>VLOOKUP(A2,'Properties List'!$A$2:$C$299,3,FALSE)</calculatedColumnFormula>
    </tableColumn>
    <tableColumn id="2" name="Tenant"/>
    <tableColumn id="3" name="Combined">
      <calculatedColumnFormula>B2&amp;C2</calculatedColumnFormula>
    </tableColumn>
    <tableColumn id="4" name="Tenant %" dataDxfId="77"/>
    <tableColumn id="5" name="Tenant Name" dataDxfId="76"/>
  </tableColumns>
  <tableStyleInfo name="TableStyleMedium2" showFirstColumn="0" showLastColumn="0" showRowStripes="0" showColumnStripes="0"/>
</table>
</file>

<file path=xl/tables/table3.xml><?xml version="1.0" encoding="utf-8"?>
<table xmlns="http://schemas.openxmlformats.org/spreadsheetml/2006/main" id="13" name="ElecLkUp" displayName="ElecLkUp" ref="A2:W296" totalsRowShown="0" headerRowDxfId="75" dataDxfId="74" tableBorderDxfId="73">
  <autoFilter ref="A2:W296"/>
  <tableColumns count="23">
    <tableColumn id="1" name="PropID" dataDxfId="72"/>
    <tableColumn id="2" name="Ledger Code" dataDxfId="71"/>
    <tableColumn id="3" name="Property Name" dataDxfId="70"/>
    <tableColumn id="4" name="Postcode" dataDxfId="69"/>
    <tableColumn id="5" name="Region" dataDxfId="68"/>
    <tableColumn id="6" name="Area" dataDxfId="67"/>
    <tableColumn id="8" name="Full Cost Centre (AR)" dataDxfId="66">
      <calculatedColumnFormula>IF(LEN(ElecLkUp[[#This Row],[Ledger Code]])&gt;3,"AR"&amp;ElecLkUp[[#This Row],[Ledger Code]],"TBC")</calculatedColumnFormula>
    </tableColumn>
    <tableColumn id="15" name="2013 Q1" dataDxfId="65"/>
    <tableColumn id="16" name="2013 Q2" dataDxfId="64"/>
    <tableColumn id="17" name="2013 Q3" dataDxfId="63"/>
    <tableColumn id="18" name="2013 Q4" dataDxfId="62"/>
    <tableColumn id="19" name="2014 Q1" dataDxfId="61"/>
    <tableColumn id="20" name="2014 Q2" dataDxfId="60"/>
    <tableColumn id="21" name="2014 Q3" dataDxfId="59"/>
    <tableColumn id="22" name="2014 Q4" dataDxfId="58"/>
    <tableColumn id="23" name="2013 Q1 (£)" dataDxfId="57"/>
    <tableColumn id="24" name="2013 Q2 (£)" dataDxfId="56"/>
    <tableColumn id="25" name="2013 Q3 (£)" dataDxfId="55"/>
    <tableColumn id="26" name="2013 Q4 (£)" dataDxfId="54"/>
    <tableColumn id="27" name="2014 Q1 (£)" dataDxfId="53"/>
    <tableColumn id="28" name="2014 Q2 (£)" dataDxfId="52"/>
    <tableColumn id="29" name="2014 Q3 (£)" dataDxfId="51"/>
    <tableColumn id="30" name="2014 Q4 (£)" dataDxfId="50"/>
  </tableColumns>
  <tableStyleInfo name="TableStyleMedium2" showFirstColumn="0" showLastColumn="0" showRowStripes="0" showColumnStripes="0"/>
</table>
</file>

<file path=xl/tables/table4.xml><?xml version="1.0" encoding="utf-8"?>
<table xmlns="http://schemas.openxmlformats.org/spreadsheetml/2006/main" id="1" name="Table12:52:03" displayName="Table12_52_03" ref="A2:W296" totalsRowShown="0" headerRowDxfId="49" dataDxfId="48">
  <autoFilter ref="A2:W296">
    <filterColumn colId="2">
      <filters>
        <filter val="1829 Building"/>
      </filters>
    </filterColumn>
  </autoFilter>
  <tableColumns count="23">
    <tableColumn id="1" name="PropID" dataDxfId="47"/>
    <tableColumn id="2" name="Ledger Code" dataDxfId="46"/>
    <tableColumn id="3" name="Property Name" dataDxfId="45"/>
    <tableColumn id="4" name="Postcode" dataDxfId="44"/>
    <tableColumn id="5" name="Region" dataDxfId="43"/>
    <tableColumn id="6" name="Area" dataDxfId="42"/>
    <tableColumn id="7" name="Full Cost Centre (AR)" dataDxfId="41">
      <calculatedColumnFormula>IF(LEN(Table12_52_03[[#This Row],[Ledger Code]])&gt;3,"AR"&amp;Table12_52_03[[#This Row],[Ledger Code]],"TBC")</calculatedColumnFormula>
    </tableColumn>
    <tableColumn id="8" name="Q1 2013/14" dataDxfId="40"/>
    <tableColumn id="9" name="Q2 2013/14" dataDxfId="39"/>
    <tableColumn id="10" name="Q3 2013/14" dataDxfId="38"/>
    <tableColumn id="11" name="Q4 2013/14" dataDxfId="37"/>
    <tableColumn id="12" name="Q1 2014/15" dataDxfId="36"/>
    <tableColumn id="13" name="Q2 2014/15" dataDxfId="35"/>
    <tableColumn id="14" name="Q3 2014/15" dataDxfId="34"/>
    <tableColumn id="15" name="Q4 2014/15" dataDxfId="33"/>
    <tableColumn id="24" name="Q1 2013/1410" dataDxfId="32"/>
    <tableColumn id="25" name="Q2 2013/1411" dataDxfId="31"/>
    <tableColumn id="26" name="Q3 2013/1412" dataDxfId="30"/>
    <tableColumn id="27" name="Q4 2013/1413" dataDxfId="29"/>
    <tableColumn id="28" name="Q1 2014/1514" dataDxfId="28"/>
    <tableColumn id="29" name="Q2 2014/1515" dataDxfId="27"/>
    <tableColumn id="30" name="Q3 2014/1516" dataDxfId="26"/>
    <tableColumn id="31" name="Q4 2014/1517" dataDxfId="25"/>
  </tableColumns>
  <tableStyleInfo name="TableStyleMedium2" showFirstColumn="0" showLastColumn="0" showRowStripes="0" showColumnStripes="0"/>
</table>
</file>

<file path=xl/tables/table5.xml><?xml version="1.0" encoding="utf-8"?>
<table xmlns="http://schemas.openxmlformats.org/spreadsheetml/2006/main" id="3" name="Table12_52_034" displayName="Table12_52_034" ref="A2:W296" totalsRowShown="0" headerRowDxfId="24" dataDxfId="23">
  <autoFilter ref="A2:W296">
    <filterColumn colId="2">
      <filters>
        <filter val="Astra Business Centre (Unit 7)"/>
      </filters>
    </filterColumn>
  </autoFilter>
  <tableColumns count="23">
    <tableColumn id="1" name="PropID" dataDxfId="22"/>
    <tableColumn id="2" name="Ledger Code" dataDxfId="21"/>
    <tableColumn id="3" name="Property Name" dataDxfId="20"/>
    <tableColumn id="4" name="Postcode" dataDxfId="19"/>
    <tableColumn id="5" name="Region" dataDxfId="18"/>
    <tableColumn id="6" name="Area" dataDxfId="17"/>
    <tableColumn id="7" name="Full Cost Centre (AR)" dataDxfId="16">
      <calculatedColumnFormula>IF(LEN(Table12_52_034[[#This Row],[Ledger Code]])&gt;3,"AR"&amp;Table12_52_034[[#This Row],[Ledger Code]],"TBC")</calculatedColumnFormula>
    </tableColumn>
    <tableColumn id="8" name="Q1 2013/14" dataDxfId="15"/>
    <tableColumn id="9" name="Q2 2013/14" dataDxfId="14"/>
    <tableColumn id="10" name="Q3 2013/14" dataDxfId="13"/>
    <tableColumn id="11" name="Q4 2013/14" dataDxfId="12"/>
    <tableColumn id="12" name="Q1 2014/15" dataDxfId="11"/>
    <tableColumn id="13" name="Q2 2014/15" dataDxfId="10"/>
    <tableColumn id="14" name="Q3 2014/15" dataDxfId="9"/>
    <tableColumn id="15" name="Q4 2014/15" dataDxfId="8"/>
    <tableColumn id="24" name="Q1 2013/14 (£)" dataDxfId="7"/>
    <tableColumn id="25" name="Q2 2013/14 (£)" dataDxfId="6"/>
    <tableColumn id="26" name="Q3 2013/14 (£)" dataDxfId="5"/>
    <tableColumn id="27" name="Q4 2013/14 (£)" dataDxfId="4"/>
    <tableColumn id="28" name="Q1 2014/15 (£)" dataDxfId="3"/>
    <tableColumn id="29" name="Q2 2014/15 (£)" dataDxfId="2"/>
    <tableColumn id="30" name="Q3 2014/15 (£)" dataDxfId="1"/>
    <tableColumn id="31" name="Q4 2014/15 (£)"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52"/>
  <sheetViews>
    <sheetView showGridLines="0" tabSelected="1" workbookViewId="0">
      <selection activeCell="B1" sqref="B1"/>
    </sheetView>
  </sheetViews>
  <sheetFormatPr defaultColWidth="0" defaultRowHeight="15" zeroHeight="1" x14ac:dyDescent="0.25"/>
  <cols>
    <col min="1" max="1" width="4.140625" customWidth="1"/>
    <col min="2" max="10" width="9.140625" customWidth="1"/>
    <col min="11" max="11" width="4.140625" customWidth="1"/>
    <col min="12" max="12" width="9.140625" hidden="1" customWidth="1"/>
    <col min="13" max="13" width="0" hidden="1" customWidth="1"/>
    <col min="14" max="16384" width="9.140625" hidden="1"/>
  </cols>
  <sheetData>
    <row r="1" spans="1:10" ht="15.75" x14ac:dyDescent="0.25">
      <c r="B1" s="118"/>
    </row>
    <row r="2" spans="1:10" x14ac:dyDescent="0.25">
      <c r="B2" s="119"/>
    </row>
    <row r="3" spans="1:10" x14ac:dyDescent="0.25">
      <c r="B3" s="14"/>
      <c r="C3" s="14"/>
      <c r="D3" s="14"/>
      <c r="E3" s="14"/>
      <c r="F3" s="14"/>
      <c r="G3" s="14"/>
      <c r="H3" s="14"/>
      <c r="I3" s="14"/>
      <c r="J3" s="14"/>
    </row>
    <row r="4" spans="1:10" ht="9" customHeight="1" x14ac:dyDescent="0.25">
      <c r="B4" s="14"/>
      <c r="C4" s="14"/>
      <c r="D4" s="14"/>
      <c r="E4" s="14"/>
      <c r="F4" s="14"/>
      <c r="G4" s="14"/>
      <c r="H4" s="14"/>
      <c r="I4" s="14"/>
      <c r="J4" s="14"/>
    </row>
    <row r="5" spans="1:10" ht="2.25" customHeight="1" x14ac:dyDescent="0.25">
      <c r="B5" s="120"/>
      <c r="C5" s="120"/>
      <c r="D5" s="120"/>
      <c r="E5" s="120"/>
      <c r="F5" s="120"/>
      <c r="G5" s="120"/>
      <c r="H5" s="120"/>
      <c r="I5" s="120"/>
      <c r="J5" s="120"/>
    </row>
    <row r="6" spans="1:10" x14ac:dyDescent="0.25"/>
    <row r="7" spans="1:10" hidden="1" x14ac:dyDescent="0.25"/>
    <row r="8" spans="1:10" x14ac:dyDescent="0.25">
      <c r="C8" s="236" t="s">
        <v>4404</v>
      </c>
      <c r="D8" s="237"/>
      <c r="E8" s="237"/>
      <c r="F8" s="237"/>
      <c r="G8" s="237"/>
      <c r="H8" s="237"/>
    </row>
    <row r="9" spans="1:10" x14ac:dyDescent="0.25">
      <c r="C9" s="237"/>
      <c r="D9" s="237"/>
      <c r="E9" s="237"/>
      <c r="F9" s="237"/>
      <c r="G9" s="237"/>
      <c r="H9" s="237"/>
    </row>
    <row r="10" spans="1:10" x14ac:dyDescent="0.25"/>
    <row r="11" spans="1:10" s="121" customFormat="1" ht="27.75" customHeight="1" x14ac:dyDescent="0.25">
      <c r="A11" s="123"/>
      <c r="B11" s="238" t="s">
        <v>4557</v>
      </c>
      <c r="C11" s="239"/>
      <c r="D11" s="239"/>
      <c r="E11" s="239"/>
      <c r="F11" s="239"/>
      <c r="G11" s="239"/>
      <c r="H11" s="239"/>
      <c r="I11" s="239"/>
      <c r="J11" s="239"/>
    </row>
    <row r="12" spans="1:10" s="121" customFormat="1" ht="27.75" customHeight="1" x14ac:dyDescent="0.25">
      <c r="A12" s="123"/>
      <c r="B12" s="239"/>
      <c r="C12" s="239"/>
      <c r="D12" s="239"/>
      <c r="E12" s="239"/>
      <c r="F12" s="239"/>
      <c r="G12" s="239"/>
      <c r="H12" s="239"/>
      <c r="I12" s="239"/>
      <c r="J12" s="239"/>
    </row>
    <row r="13" spans="1:10" s="121" customFormat="1" ht="95.25" customHeight="1" x14ac:dyDescent="0.25">
      <c r="A13" s="123"/>
      <c r="B13" s="239"/>
      <c r="C13" s="239"/>
      <c r="D13" s="239"/>
      <c r="E13" s="239"/>
      <c r="F13" s="239"/>
      <c r="G13" s="239"/>
      <c r="H13" s="239"/>
      <c r="I13" s="239"/>
      <c r="J13" s="239"/>
    </row>
    <row r="14" spans="1:10" s="121" customFormat="1" ht="129.75" customHeight="1" x14ac:dyDescent="0.25">
      <c r="A14" s="123"/>
      <c r="B14" s="239"/>
      <c r="C14" s="239"/>
      <c r="D14" s="239"/>
      <c r="E14" s="239"/>
      <c r="F14" s="239"/>
      <c r="G14" s="239"/>
      <c r="H14" s="239"/>
      <c r="I14" s="239"/>
      <c r="J14" s="239"/>
    </row>
    <row r="15" spans="1:10" x14ac:dyDescent="0.25"/>
    <row r="16" spans="1:10" ht="18.75" x14ac:dyDescent="0.3">
      <c r="B16" s="122" t="s">
        <v>4405</v>
      </c>
    </row>
    <row r="17" spans="1:13" ht="3" customHeight="1" x14ac:dyDescent="0.3">
      <c r="B17" s="122"/>
    </row>
    <row r="18" spans="1:13" ht="31.5" customHeight="1" x14ac:dyDescent="0.25">
      <c r="B18" s="244" t="s">
        <v>4410</v>
      </c>
      <c r="C18" s="241"/>
      <c r="D18" s="241"/>
      <c r="E18" s="241"/>
      <c r="F18" s="241"/>
      <c r="G18" s="241"/>
      <c r="H18" s="241"/>
      <c r="I18" s="241"/>
      <c r="J18" s="241"/>
    </row>
    <row r="19" spans="1:13" x14ac:dyDescent="0.25">
      <c r="B19" s="241"/>
      <c r="C19" s="241"/>
      <c r="D19" s="241"/>
      <c r="E19" s="241"/>
      <c r="F19" s="241"/>
      <c r="G19" s="241"/>
      <c r="H19" s="241"/>
      <c r="I19" s="241"/>
      <c r="J19" s="241"/>
    </row>
    <row r="20" spans="1:13" x14ac:dyDescent="0.25">
      <c r="B20" s="241"/>
      <c r="C20" s="241"/>
      <c r="D20" s="241"/>
      <c r="E20" s="241"/>
      <c r="F20" s="241"/>
      <c r="G20" s="241"/>
      <c r="H20" s="241"/>
      <c r="I20" s="241"/>
      <c r="J20" s="241"/>
    </row>
    <row r="21" spans="1:13" ht="41.25" customHeight="1" x14ac:dyDescent="0.25">
      <c r="B21" s="241"/>
      <c r="C21" s="241"/>
      <c r="D21" s="241"/>
      <c r="E21" s="241"/>
      <c r="F21" s="241"/>
      <c r="G21" s="241"/>
      <c r="H21" s="241"/>
      <c r="I21" s="241"/>
      <c r="J21" s="241"/>
    </row>
    <row r="22" spans="1:13" ht="11.25" customHeight="1" x14ac:dyDescent="0.3">
      <c r="B22" s="122"/>
    </row>
    <row r="23" spans="1:13" s="121" customFormat="1" ht="23.25" customHeight="1" x14ac:dyDescent="0.25">
      <c r="A23" s="123"/>
      <c r="B23" s="240" t="s">
        <v>4497</v>
      </c>
      <c r="C23" s="241"/>
      <c r="D23" s="241"/>
      <c r="E23" s="241"/>
      <c r="F23" s="241"/>
      <c r="G23" s="241"/>
      <c r="H23" s="241"/>
      <c r="I23" s="241"/>
      <c r="J23" s="241"/>
    </row>
    <row r="24" spans="1:13" s="121" customFormat="1" ht="23.25" customHeight="1" x14ac:dyDescent="0.25">
      <c r="A24" s="123"/>
      <c r="B24" s="241"/>
      <c r="C24" s="241"/>
      <c r="D24" s="241"/>
      <c r="E24" s="241"/>
      <c r="F24" s="241"/>
      <c r="G24" s="241"/>
      <c r="H24" s="241"/>
      <c r="I24" s="241"/>
      <c r="J24" s="241"/>
    </row>
    <row r="25" spans="1:13" s="121" customFormat="1" ht="23.25" customHeight="1" x14ac:dyDescent="0.25">
      <c r="A25" s="123"/>
      <c r="B25" s="241"/>
      <c r="C25" s="241"/>
      <c r="D25" s="241"/>
      <c r="E25" s="241"/>
      <c r="F25" s="241"/>
      <c r="G25" s="241"/>
      <c r="H25" s="241"/>
      <c r="I25" s="241"/>
      <c r="J25" s="241"/>
    </row>
    <row r="26" spans="1:13" s="121" customFormat="1" ht="43.5" customHeight="1" x14ac:dyDescent="0.25">
      <c r="A26" s="123"/>
      <c r="B26" s="241"/>
      <c r="C26" s="241"/>
      <c r="D26" s="241"/>
      <c r="E26" s="241"/>
      <c r="F26" s="241"/>
      <c r="G26" s="241"/>
      <c r="H26" s="241"/>
      <c r="I26" s="241"/>
      <c r="J26" s="241"/>
    </row>
    <row r="27" spans="1:13" ht="9" customHeight="1" x14ac:dyDescent="0.25"/>
    <row r="28" spans="1:13" s="121" customFormat="1" ht="18" customHeight="1" x14ac:dyDescent="0.25">
      <c r="A28" s="123"/>
      <c r="B28" s="242" t="s">
        <v>4501</v>
      </c>
      <c r="C28" s="243"/>
      <c r="D28" s="243"/>
      <c r="E28" s="243"/>
      <c r="F28" s="243"/>
      <c r="G28" s="243"/>
      <c r="H28" s="243"/>
      <c r="I28" s="243"/>
      <c r="J28" s="243"/>
      <c r="M28" s="121">
        <v>0.12384067417423052</v>
      </c>
    </row>
    <row r="29" spans="1:13" s="121" customFormat="1" ht="18" customHeight="1" x14ac:dyDescent="0.25">
      <c r="A29" s="123"/>
      <c r="B29" s="243"/>
      <c r="C29" s="243"/>
      <c r="D29" s="243"/>
      <c r="E29" s="243"/>
      <c r="F29" s="243"/>
      <c r="G29" s="243"/>
      <c r="H29" s="243"/>
      <c r="I29" s="243"/>
      <c r="J29" s="243"/>
    </row>
    <row r="30" spans="1:13" s="121" customFormat="1" ht="18" customHeight="1" x14ac:dyDescent="0.25">
      <c r="A30" s="123"/>
      <c r="B30" s="243"/>
      <c r="C30" s="243"/>
      <c r="D30" s="243"/>
      <c r="E30" s="243"/>
      <c r="F30" s="243"/>
      <c r="G30" s="243"/>
      <c r="H30" s="243"/>
      <c r="I30" s="243"/>
      <c r="J30" s="243"/>
    </row>
    <row r="31" spans="1:13" s="121" customFormat="1" ht="19.5" customHeight="1" x14ac:dyDescent="0.25">
      <c r="A31" s="123"/>
      <c r="B31" s="243"/>
      <c r="C31" s="243"/>
      <c r="D31" s="243"/>
      <c r="E31" s="243"/>
      <c r="F31" s="243"/>
      <c r="G31" s="243"/>
      <c r="H31" s="243"/>
      <c r="I31" s="243"/>
      <c r="J31" s="243"/>
    </row>
    <row r="32" spans="1:13" ht="9" customHeight="1" x14ac:dyDescent="0.25"/>
    <row r="33" spans="1:13" s="121" customFormat="1" ht="19.5" customHeight="1" x14ac:dyDescent="0.25">
      <c r="A33" s="123"/>
      <c r="B33" s="242" t="s">
        <v>4505</v>
      </c>
      <c r="C33" s="243"/>
      <c r="D33" s="243"/>
      <c r="E33" s="243"/>
      <c r="F33" s="243"/>
      <c r="G33" s="243"/>
      <c r="H33" s="243"/>
      <c r="I33" s="243"/>
      <c r="J33" s="243"/>
      <c r="M33" s="121">
        <v>3.2436152890969863E-2</v>
      </c>
    </row>
    <row r="34" spans="1:13" s="121" customFormat="1" ht="19.5" customHeight="1" x14ac:dyDescent="0.25">
      <c r="A34" s="123"/>
      <c r="B34" s="243"/>
      <c r="C34" s="243"/>
      <c r="D34" s="243"/>
      <c r="E34" s="243"/>
      <c r="F34" s="243"/>
      <c r="G34" s="243"/>
      <c r="H34" s="243"/>
      <c r="I34" s="243"/>
      <c r="J34" s="243"/>
    </row>
    <row r="35" spans="1:13" s="121" customFormat="1" ht="19.5" customHeight="1" x14ac:dyDescent="0.25">
      <c r="A35" s="123"/>
      <c r="B35" s="243"/>
      <c r="C35" s="243"/>
      <c r="D35" s="243"/>
      <c r="E35" s="243"/>
      <c r="F35" s="243"/>
      <c r="G35" s="243"/>
      <c r="H35" s="243"/>
      <c r="I35" s="243"/>
      <c r="J35" s="243"/>
    </row>
    <row r="36" spans="1:13" s="121" customFormat="1" ht="114.75" customHeight="1" x14ac:dyDescent="0.25">
      <c r="A36" s="123"/>
      <c r="B36" s="243"/>
      <c r="C36" s="243"/>
      <c r="D36" s="243"/>
      <c r="E36" s="243"/>
      <c r="F36" s="243"/>
      <c r="G36" s="243"/>
      <c r="H36" s="243"/>
      <c r="I36" s="243"/>
      <c r="J36" s="243"/>
    </row>
    <row r="37" spans="1:13" s="121" customFormat="1" ht="9" customHeight="1" x14ac:dyDescent="0.25">
      <c r="A37" s="123"/>
    </row>
    <row r="38" spans="1:13" s="121" customFormat="1" ht="33" customHeight="1" x14ac:dyDescent="0.25">
      <c r="A38" s="123"/>
      <c r="B38" s="234" t="s">
        <v>4506</v>
      </c>
      <c r="C38" s="235"/>
      <c r="D38" s="235"/>
      <c r="E38" s="235"/>
      <c r="F38" s="235"/>
      <c r="G38" s="235"/>
      <c r="H38" s="235"/>
      <c r="I38" s="235"/>
      <c r="J38" s="235"/>
    </row>
    <row r="39" spans="1:13" s="121" customFormat="1" ht="19.5" customHeight="1" x14ac:dyDescent="0.25">
      <c r="A39" s="123"/>
      <c r="B39" s="235"/>
      <c r="C39" s="235"/>
      <c r="D39" s="235"/>
      <c r="E39" s="235"/>
      <c r="F39" s="235"/>
      <c r="G39" s="235"/>
      <c r="H39" s="235"/>
      <c r="I39" s="235"/>
      <c r="J39" s="235"/>
    </row>
    <row r="40" spans="1:13" s="121" customFormat="1" ht="19.5" customHeight="1" x14ac:dyDescent="0.25">
      <c r="A40" s="123"/>
      <c r="B40" s="235"/>
      <c r="C40" s="235"/>
      <c r="D40" s="235"/>
      <c r="E40" s="235"/>
      <c r="F40" s="235"/>
      <c r="G40" s="235"/>
      <c r="H40" s="235"/>
      <c r="I40" s="235"/>
      <c r="J40" s="235"/>
    </row>
    <row r="41" spans="1:13" s="121" customFormat="1" ht="27" customHeight="1" x14ac:dyDescent="0.25">
      <c r="A41" s="123"/>
      <c r="B41" s="235"/>
      <c r="C41" s="235"/>
      <c r="D41" s="235"/>
      <c r="E41" s="235"/>
      <c r="F41" s="235"/>
      <c r="G41" s="235"/>
      <c r="H41" s="235"/>
      <c r="I41" s="235"/>
      <c r="J41" s="235"/>
    </row>
    <row r="42" spans="1:13" ht="7.5" customHeight="1" x14ac:dyDescent="0.25">
      <c r="B42" s="124"/>
      <c r="C42" s="124"/>
      <c r="D42" s="124"/>
      <c r="E42" s="124"/>
      <c r="F42" s="124"/>
      <c r="G42" s="124"/>
      <c r="H42" s="124"/>
      <c r="I42" s="124"/>
      <c r="J42" s="124"/>
    </row>
    <row r="43" spans="1:13" x14ac:dyDescent="0.25">
      <c r="B43" s="234" t="s">
        <v>4406</v>
      </c>
      <c r="C43" s="235"/>
      <c r="D43" s="235"/>
      <c r="E43" s="235"/>
      <c r="F43" s="235"/>
      <c r="G43" s="235"/>
      <c r="H43" s="235"/>
      <c r="I43" s="235"/>
      <c r="J43" s="235"/>
    </row>
    <row r="44" spans="1:13" x14ac:dyDescent="0.25">
      <c r="B44" s="235"/>
      <c r="C44" s="235"/>
      <c r="D44" s="235"/>
      <c r="E44" s="235"/>
      <c r="F44" s="235"/>
      <c r="G44" s="235"/>
      <c r="H44" s="235"/>
      <c r="I44" s="235"/>
      <c r="J44" s="235"/>
    </row>
    <row r="45" spans="1:13" x14ac:dyDescent="0.25">
      <c r="B45" s="235"/>
      <c r="C45" s="235"/>
      <c r="D45" s="235"/>
      <c r="E45" s="235"/>
      <c r="F45" s="235"/>
      <c r="G45" s="235"/>
      <c r="H45" s="235"/>
      <c r="I45" s="235"/>
      <c r="J45" s="235"/>
    </row>
    <row r="46" spans="1:13" x14ac:dyDescent="0.25">
      <c r="B46" s="235"/>
      <c r="C46" s="235"/>
      <c r="D46" s="235"/>
      <c r="E46" s="235"/>
      <c r="F46" s="235"/>
      <c r="G46" s="235"/>
      <c r="H46" s="235"/>
      <c r="I46" s="235"/>
      <c r="J46" s="235"/>
    </row>
    <row r="47" spans="1:13" x14ac:dyDescent="0.25"/>
    <row r="48" spans="1:13" ht="2.25" customHeight="1" x14ac:dyDescent="0.25">
      <c r="B48" s="125"/>
      <c r="C48" s="125"/>
      <c r="D48" s="125"/>
      <c r="E48" s="125"/>
      <c r="F48" s="125"/>
      <c r="G48" s="125"/>
      <c r="H48" s="125"/>
      <c r="I48" s="125"/>
      <c r="J48" s="125"/>
    </row>
    <row r="49" spans="2:10" ht="9" customHeight="1" x14ac:dyDescent="0.25">
      <c r="B49" s="50"/>
      <c r="C49" s="50"/>
      <c r="D49" s="50"/>
      <c r="E49" s="50"/>
      <c r="F49" s="50"/>
      <c r="G49" s="50"/>
      <c r="H49" s="50"/>
      <c r="I49" s="50"/>
      <c r="J49" s="50"/>
    </row>
    <row r="50" spans="2:10" x14ac:dyDescent="0.25">
      <c r="B50" s="126" t="str">
        <f>"Utilities Data Report March 2016 "</f>
        <v xml:space="preserve">Utilities Data Report March 2016 </v>
      </c>
      <c r="C50" s="14"/>
      <c r="D50" s="14"/>
      <c r="E50" s="14"/>
      <c r="F50" s="14"/>
      <c r="G50" s="14"/>
      <c r="H50" s="14"/>
      <c r="I50" s="14"/>
      <c r="J50" s="14"/>
    </row>
    <row r="51" spans="2:10" x14ac:dyDescent="0.25">
      <c r="B51" s="127" t="s">
        <v>4407</v>
      </c>
    </row>
    <row r="52" spans="2:10" x14ac:dyDescent="0.25"/>
  </sheetData>
  <mergeCells count="8">
    <mergeCell ref="B43:J46"/>
    <mergeCell ref="C8:H9"/>
    <mergeCell ref="B11:J14"/>
    <mergeCell ref="B23:J26"/>
    <mergeCell ref="B28:J31"/>
    <mergeCell ref="B33:J36"/>
    <mergeCell ref="B38:J41"/>
    <mergeCell ref="B18:J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837"/>
  <sheetViews>
    <sheetView topLeftCell="A777" workbookViewId="0">
      <selection activeCell="P781" sqref="P781"/>
    </sheetView>
  </sheetViews>
  <sheetFormatPr defaultRowHeight="15" x14ac:dyDescent="0.25"/>
  <cols>
    <col min="1" max="1" width="8" bestFit="1" customWidth="1"/>
    <col min="2" max="2" width="7.42578125" bestFit="1" customWidth="1"/>
    <col min="3" max="3" width="55.140625" bestFit="1" customWidth="1"/>
    <col min="4" max="4" width="12.140625" bestFit="1" customWidth="1"/>
    <col min="5" max="5" width="10.5703125" bestFit="1" customWidth="1"/>
    <col min="6" max="7" width="9.5703125" bestFit="1" customWidth="1"/>
    <col min="10" max="10" width="10.5703125" bestFit="1" customWidth="1"/>
    <col min="11" max="12" width="9.5703125" bestFit="1" customWidth="1"/>
    <col min="13" max="13" width="10.5703125" bestFit="1" customWidth="1"/>
    <col min="14" max="14" width="9.5703125" bestFit="1" customWidth="1"/>
  </cols>
  <sheetData>
    <row r="1" spans="1:14" x14ac:dyDescent="0.25">
      <c r="D1" s="295" t="s">
        <v>821</v>
      </c>
      <c r="E1" s="296"/>
      <c r="F1" s="296"/>
      <c r="G1" s="296"/>
      <c r="H1" s="297"/>
      <c r="J1" s="298" t="s">
        <v>822</v>
      </c>
      <c r="K1" s="299"/>
      <c r="L1" s="299"/>
      <c r="M1" s="299"/>
      <c r="N1" s="300"/>
    </row>
    <row r="2" spans="1:14" ht="45" x14ac:dyDescent="0.25">
      <c r="A2" s="82" t="s">
        <v>823</v>
      </c>
      <c r="B2" s="82" t="s">
        <v>1</v>
      </c>
      <c r="C2" s="82" t="s">
        <v>824</v>
      </c>
      <c r="D2" s="82" t="s">
        <v>825</v>
      </c>
      <c r="E2" s="82" t="s">
        <v>826</v>
      </c>
      <c r="F2" s="82" t="s">
        <v>827</v>
      </c>
      <c r="G2" s="82" t="s">
        <v>828</v>
      </c>
      <c r="H2" s="82" t="s">
        <v>829</v>
      </c>
      <c r="J2" s="83" t="s">
        <v>825</v>
      </c>
      <c r="K2" s="83" t="s">
        <v>826</v>
      </c>
      <c r="L2" s="83" t="s">
        <v>827</v>
      </c>
      <c r="M2" s="83" t="s">
        <v>828</v>
      </c>
      <c r="N2" s="83" t="s">
        <v>829</v>
      </c>
    </row>
    <row r="3" spans="1:14" x14ac:dyDescent="0.25">
      <c r="A3" s="74" t="s">
        <v>830</v>
      </c>
      <c r="B3" s="74">
        <v>9508</v>
      </c>
      <c r="C3" t="e">
        <f>VLOOKUP(B3,'Waste Lookups'!$B$1:$C$292,2,FALSE)</f>
        <v>#N/A</v>
      </c>
      <c r="D3" s="84">
        <v>0</v>
      </c>
      <c r="E3" s="84">
        <v>718.73454545454547</v>
      </c>
      <c r="F3" s="84">
        <v>0</v>
      </c>
      <c r="G3" s="84">
        <v>0</v>
      </c>
      <c r="H3" s="84">
        <v>0</v>
      </c>
      <c r="I3" s="84"/>
      <c r="J3" s="84">
        <v>0</v>
      </c>
      <c r="K3" s="84">
        <v>0</v>
      </c>
      <c r="L3" s="84">
        <v>0</v>
      </c>
      <c r="M3" s="84">
        <v>0</v>
      </c>
      <c r="N3" s="84">
        <v>0</v>
      </c>
    </row>
    <row r="4" spans="1:14" x14ac:dyDescent="0.25">
      <c r="A4" s="74" t="s">
        <v>832</v>
      </c>
      <c r="B4" s="74">
        <v>9511</v>
      </c>
      <c r="C4" t="e">
        <f>VLOOKUP(B4,'Waste Lookups'!$B$1:$C$292,2,FALSE)</f>
        <v>#N/A</v>
      </c>
      <c r="D4" s="84">
        <v>0</v>
      </c>
      <c r="E4" s="84">
        <v>0</v>
      </c>
      <c r="F4" s="84">
        <v>6087.0327272727272</v>
      </c>
      <c r="G4" s="84">
        <v>0</v>
      </c>
      <c r="H4" s="84">
        <v>0</v>
      </c>
      <c r="I4" s="84"/>
      <c r="J4" s="84">
        <v>0</v>
      </c>
      <c r="K4" s="84">
        <v>0</v>
      </c>
      <c r="L4" s="84">
        <v>0</v>
      </c>
      <c r="M4" s="84">
        <v>0</v>
      </c>
      <c r="N4" s="84">
        <v>0</v>
      </c>
    </row>
    <row r="5" spans="1:14" x14ac:dyDescent="0.25">
      <c r="A5" s="74" t="s">
        <v>834</v>
      </c>
      <c r="B5" s="74">
        <v>9542</v>
      </c>
      <c r="C5" t="e">
        <f>VLOOKUP(B5,'Waste Lookups'!$B$1:$C$292,2,FALSE)</f>
        <v>#N/A</v>
      </c>
      <c r="D5" s="84">
        <v>0</v>
      </c>
      <c r="E5" s="84">
        <v>0</v>
      </c>
      <c r="F5" s="84">
        <v>0</v>
      </c>
      <c r="G5" s="84">
        <v>0</v>
      </c>
      <c r="H5" s="84">
        <v>0</v>
      </c>
      <c r="I5" s="84"/>
      <c r="J5" s="84">
        <v>0</v>
      </c>
      <c r="K5" s="84">
        <v>0</v>
      </c>
      <c r="L5" s="84">
        <v>0</v>
      </c>
      <c r="M5" s="84">
        <v>0</v>
      </c>
      <c r="N5" s="84">
        <v>0</v>
      </c>
    </row>
    <row r="6" spans="1:14" x14ac:dyDescent="0.25">
      <c r="A6" s="74" t="s">
        <v>836</v>
      </c>
      <c r="B6" s="74">
        <v>9545</v>
      </c>
      <c r="C6" t="e">
        <f>VLOOKUP(B6,'Waste Lookups'!$B$1:$C$292,2,FALSE)</f>
        <v>#N/A</v>
      </c>
      <c r="D6" s="84">
        <v>40275.141818181815</v>
      </c>
      <c r="E6" s="84">
        <v>0</v>
      </c>
      <c r="F6" s="84">
        <v>0</v>
      </c>
      <c r="G6" s="84">
        <v>0</v>
      </c>
      <c r="H6" s="84">
        <v>0</v>
      </c>
      <c r="I6" s="84"/>
      <c r="J6" s="84">
        <v>0</v>
      </c>
      <c r="K6" s="84">
        <v>0</v>
      </c>
      <c r="L6" s="84">
        <v>0</v>
      </c>
      <c r="M6" s="84">
        <v>0</v>
      </c>
      <c r="N6" s="84">
        <v>0</v>
      </c>
    </row>
    <row r="7" spans="1:14" x14ac:dyDescent="0.25">
      <c r="A7" s="74" t="s">
        <v>838</v>
      </c>
      <c r="B7" s="74">
        <v>9546</v>
      </c>
      <c r="C7" t="e">
        <f>VLOOKUP(B7,'Waste Lookups'!$B$1:$C$292,2,FALSE)</f>
        <v>#N/A</v>
      </c>
      <c r="D7" s="84">
        <v>30876.763636363634</v>
      </c>
      <c r="E7" s="84">
        <v>0</v>
      </c>
      <c r="F7" s="84">
        <v>0</v>
      </c>
      <c r="G7" s="84">
        <v>0</v>
      </c>
      <c r="H7" s="84">
        <v>0</v>
      </c>
      <c r="I7" s="84"/>
      <c r="J7" s="84">
        <v>0</v>
      </c>
      <c r="K7" s="84">
        <v>0</v>
      </c>
      <c r="L7" s="84">
        <v>0</v>
      </c>
      <c r="M7" s="84">
        <v>0</v>
      </c>
      <c r="N7" s="84">
        <v>0</v>
      </c>
    </row>
    <row r="8" spans="1:14" x14ac:dyDescent="0.25">
      <c r="A8" s="74" t="s">
        <v>840</v>
      </c>
      <c r="B8" s="74">
        <v>9547</v>
      </c>
      <c r="C8" t="e">
        <f>VLOOKUP(B8,'Waste Lookups'!$B$1:$C$292,2,FALSE)</f>
        <v>#N/A</v>
      </c>
      <c r="D8" s="84">
        <v>194444.47636363635</v>
      </c>
      <c r="E8" s="84">
        <v>2280.2836363636366</v>
      </c>
      <c r="F8" s="84">
        <v>0</v>
      </c>
      <c r="G8" s="84">
        <v>0</v>
      </c>
      <c r="H8" s="84">
        <v>53.93454545454545</v>
      </c>
      <c r="I8" s="84"/>
      <c r="J8" s="84">
        <v>0</v>
      </c>
      <c r="K8" s="84">
        <v>0</v>
      </c>
      <c r="L8" s="84">
        <v>0</v>
      </c>
      <c r="M8" s="84">
        <v>0</v>
      </c>
      <c r="N8" s="84">
        <v>0</v>
      </c>
    </row>
    <row r="9" spans="1:14" x14ac:dyDescent="0.25">
      <c r="A9" s="74" t="s">
        <v>842</v>
      </c>
      <c r="B9" s="74">
        <v>9548</v>
      </c>
      <c r="C9" t="e">
        <f>VLOOKUP(B9,'Waste Lookups'!$B$1:$C$292,2,FALSE)</f>
        <v>#N/A</v>
      </c>
      <c r="D9" s="84">
        <v>1032.610909090909</v>
      </c>
      <c r="E9" s="84">
        <v>0</v>
      </c>
      <c r="F9" s="84">
        <v>0</v>
      </c>
      <c r="G9" s="84">
        <v>0</v>
      </c>
      <c r="H9" s="84">
        <v>1480.1890909090907</v>
      </c>
      <c r="I9" s="84"/>
      <c r="J9" s="84">
        <v>0</v>
      </c>
      <c r="K9" s="84">
        <v>0</v>
      </c>
      <c r="L9" s="84">
        <v>0</v>
      </c>
      <c r="M9" s="84">
        <v>0</v>
      </c>
      <c r="N9" s="84">
        <v>0</v>
      </c>
    </row>
    <row r="10" spans="1:14" x14ac:dyDescent="0.25">
      <c r="A10" s="74" t="s">
        <v>844</v>
      </c>
      <c r="B10" s="74">
        <v>9549</v>
      </c>
      <c r="C10" t="e">
        <f>VLOOKUP(B10,'Waste Lookups'!$B$1:$C$292,2,FALSE)</f>
        <v>#N/A</v>
      </c>
      <c r="D10" s="84">
        <v>0</v>
      </c>
      <c r="E10" s="84">
        <v>0</v>
      </c>
      <c r="F10" s="84">
        <v>0</v>
      </c>
      <c r="G10" s="84">
        <v>0</v>
      </c>
      <c r="H10" s="84">
        <v>0</v>
      </c>
      <c r="I10" s="84"/>
      <c r="J10" s="84">
        <v>0</v>
      </c>
      <c r="K10" s="84">
        <v>0</v>
      </c>
      <c r="L10" s="84">
        <v>0</v>
      </c>
      <c r="M10" s="84">
        <v>0</v>
      </c>
      <c r="N10" s="84">
        <v>0</v>
      </c>
    </row>
    <row r="11" spans="1:14" x14ac:dyDescent="0.25">
      <c r="A11" s="74" t="s">
        <v>846</v>
      </c>
      <c r="B11" s="74">
        <v>9550</v>
      </c>
      <c r="C11" t="e">
        <f>VLOOKUP(B11,'Waste Lookups'!$B$1:$C$292,2,FALSE)</f>
        <v>#N/A</v>
      </c>
      <c r="D11" s="84">
        <v>173.30181818181819</v>
      </c>
      <c r="E11" s="84">
        <v>1333.0472727272727</v>
      </c>
      <c r="F11" s="84">
        <v>0</v>
      </c>
      <c r="G11" s="84">
        <v>0</v>
      </c>
      <c r="H11" s="84">
        <v>0</v>
      </c>
      <c r="I11" s="84"/>
      <c r="J11" s="84">
        <v>0</v>
      </c>
      <c r="K11" s="84">
        <v>0</v>
      </c>
      <c r="L11" s="84">
        <v>0</v>
      </c>
      <c r="M11" s="84">
        <v>0</v>
      </c>
      <c r="N11" s="84">
        <v>0</v>
      </c>
    </row>
    <row r="12" spans="1:14" x14ac:dyDescent="0.25">
      <c r="A12" s="74" t="s">
        <v>848</v>
      </c>
      <c r="B12" s="74">
        <v>9563</v>
      </c>
      <c r="C12" t="e">
        <f>VLOOKUP(B12,'Waste Lookups'!$B$1:$C$292,2,FALSE)</f>
        <v>#N/A</v>
      </c>
      <c r="D12" s="84">
        <v>1836.8727272727272</v>
      </c>
      <c r="E12" s="84">
        <v>10003.167272727273</v>
      </c>
      <c r="F12" s="84">
        <v>0</v>
      </c>
      <c r="G12" s="84">
        <v>0</v>
      </c>
      <c r="H12" s="84">
        <v>0</v>
      </c>
      <c r="I12" s="84"/>
      <c r="J12" s="84">
        <v>0</v>
      </c>
      <c r="K12" s="84">
        <v>0</v>
      </c>
      <c r="L12" s="84">
        <v>0</v>
      </c>
      <c r="M12" s="84">
        <v>0</v>
      </c>
      <c r="N12" s="84">
        <v>0</v>
      </c>
    </row>
    <row r="13" spans="1:14" x14ac:dyDescent="0.25">
      <c r="A13" s="74" t="s">
        <v>850</v>
      </c>
      <c r="B13" s="74">
        <v>9565</v>
      </c>
      <c r="C13" t="e">
        <f>VLOOKUP(B13,'Waste Lookups'!$B$1:$C$292,2,FALSE)</f>
        <v>#N/A</v>
      </c>
      <c r="D13" s="84">
        <v>1013555.1927272726</v>
      </c>
      <c r="E13" s="84">
        <v>0</v>
      </c>
      <c r="F13" s="84">
        <v>0</v>
      </c>
      <c r="G13" s="84">
        <v>0</v>
      </c>
      <c r="H13" s="84">
        <v>0</v>
      </c>
      <c r="I13" s="84"/>
      <c r="J13" s="84">
        <v>0</v>
      </c>
      <c r="K13" s="84">
        <v>0</v>
      </c>
      <c r="L13" s="84">
        <v>0</v>
      </c>
      <c r="M13" s="84">
        <v>0</v>
      </c>
      <c r="N13" s="84">
        <v>0</v>
      </c>
    </row>
    <row r="14" spans="1:14" x14ac:dyDescent="0.25">
      <c r="A14" s="74" t="s">
        <v>852</v>
      </c>
      <c r="B14" s="74">
        <v>9568</v>
      </c>
      <c r="C14" t="e">
        <f>VLOOKUP(B14,'Waste Lookups'!$B$1:$C$292,2,FALSE)</f>
        <v>#N/A</v>
      </c>
      <c r="D14" s="84">
        <v>0</v>
      </c>
      <c r="E14" s="84">
        <v>2474.2145454545457</v>
      </c>
      <c r="F14" s="84">
        <v>75.643636363636361</v>
      </c>
      <c r="G14" s="84">
        <v>25.210909090909091</v>
      </c>
      <c r="H14" s="84">
        <v>0</v>
      </c>
      <c r="I14" s="84"/>
      <c r="J14" s="84">
        <v>0</v>
      </c>
      <c r="K14" s="84">
        <v>0</v>
      </c>
      <c r="L14" s="84">
        <v>0</v>
      </c>
      <c r="M14" s="84">
        <v>0</v>
      </c>
      <c r="N14" s="84">
        <v>0</v>
      </c>
    </row>
    <row r="15" spans="1:14" x14ac:dyDescent="0.25">
      <c r="A15" s="74" t="s">
        <v>854</v>
      </c>
      <c r="B15" s="74">
        <v>9569</v>
      </c>
      <c r="C15" t="e">
        <f>VLOOKUP(B15,'Waste Lookups'!$B$1:$C$292,2,FALSE)</f>
        <v>#N/A</v>
      </c>
      <c r="D15" s="84">
        <v>0</v>
      </c>
      <c r="E15" s="84">
        <v>3438.949090909091</v>
      </c>
      <c r="F15" s="84">
        <v>50.421818181818182</v>
      </c>
      <c r="G15" s="84">
        <v>37.82181818181818</v>
      </c>
      <c r="H15" s="84">
        <v>0</v>
      </c>
      <c r="I15" s="84"/>
      <c r="J15" s="84">
        <v>0</v>
      </c>
      <c r="K15" s="84">
        <v>0</v>
      </c>
      <c r="L15" s="84">
        <v>0</v>
      </c>
      <c r="M15" s="84">
        <v>0</v>
      </c>
      <c r="N15" s="84">
        <v>0</v>
      </c>
    </row>
    <row r="16" spans="1:14" x14ac:dyDescent="0.25">
      <c r="A16" s="74" t="s">
        <v>856</v>
      </c>
      <c r="B16" s="74">
        <v>9570</v>
      </c>
      <c r="C16" t="e">
        <f>VLOOKUP(B16,'Waste Lookups'!$B$1:$C$292,2,FALSE)</f>
        <v>#N/A</v>
      </c>
      <c r="D16" s="84">
        <v>0</v>
      </c>
      <c r="E16" s="84">
        <v>193.74545454545455</v>
      </c>
      <c r="F16" s="84">
        <v>0</v>
      </c>
      <c r="G16" s="84">
        <v>0</v>
      </c>
      <c r="H16" s="84">
        <v>0</v>
      </c>
      <c r="I16" s="84"/>
      <c r="J16" s="84">
        <v>0</v>
      </c>
      <c r="K16" s="84">
        <v>0</v>
      </c>
      <c r="L16" s="84">
        <v>0</v>
      </c>
      <c r="M16" s="84">
        <v>0</v>
      </c>
      <c r="N16" s="84">
        <v>0</v>
      </c>
    </row>
    <row r="17" spans="1:14" x14ac:dyDescent="0.25">
      <c r="A17" s="74" t="s">
        <v>858</v>
      </c>
      <c r="B17" s="74">
        <v>9571</v>
      </c>
      <c r="C17" t="e">
        <f>VLOOKUP(B17,'Waste Lookups'!$B$1:$C$292,2,FALSE)</f>
        <v>#N/A</v>
      </c>
      <c r="D17" s="84">
        <v>0</v>
      </c>
      <c r="E17" s="84">
        <v>1019.04</v>
      </c>
      <c r="F17" s="84">
        <v>50.421818181818182</v>
      </c>
      <c r="G17" s="84">
        <v>37.82181818181818</v>
      </c>
      <c r="H17" s="84">
        <v>0</v>
      </c>
      <c r="I17" s="84"/>
      <c r="J17" s="84">
        <v>0</v>
      </c>
      <c r="K17" s="84">
        <v>0</v>
      </c>
      <c r="L17" s="84">
        <v>0</v>
      </c>
      <c r="M17" s="84">
        <v>0</v>
      </c>
      <c r="N17" s="84">
        <v>0</v>
      </c>
    </row>
    <row r="18" spans="1:14" x14ac:dyDescent="0.25">
      <c r="A18" s="74" t="s">
        <v>860</v>
      </c>
      <c r="B18" s="74">
        <v>9572</v>
      </c>
      <c r="C18" t="e">
        <f>VLOOKUP(B18,'Waste Lookups'!$B$1:$C$292,2,FALSE)</f>
        <v>#N/A</v>
      </c>
      <c r="D18" s="84">
        <v>66.894545454545451</v>
      </c>
      <c r="E18" s="84">
        <v>751.29818181818189</v>
      </c>
      <c r="F18" s="84">
        <v>0</v>
      </c>
      <c r="G18" s="84">
        <v>0</v>
      </c>
      <c r="H18" s="84">
        <v>0</v>
      </c>
      <c r="I18" s="84"/>
      <c r="J18" s="84">
        <v>0</v>
      </c>
      <c r="K18" s="84">
        <v>0</v>
      </c>
      <c r="L18" s="84">
        <v>0</v>
      </c>
      <c r="M18" s="84">
        <v>0</v>
      </c>
      <c r="N18" s="84">
        <v>0</v>
      </c>
    </row>
    <row r="19" spans="1:14" x14ac:dyDescent="0.25">
      <c r="A19" s="74" t="s">
        <v>862</v>
      </c>
      <c r="B19" s="74">
        <v>9573</v>
      </c>
      <c r="C19" t="e">
        <f>VLOOKUP(B19,'Waste Lookups'!$B$1:$C$292,2,FALSE)</f>
        <v>#N/A</v>
      </c>
      <c r="D19" s="84">
        <v>0</v>
      </c>
      <c r="E19" s="84">
        <v>3787.4618181818182</v>
      </c>
      <c r="F19" s="84">
        <v>181.96363636363637</v>
      </c>
      <c r="G19" s="84">
        <v>131.54181818181817</v>
      </c>
      <c r="H19" s="84">
        <v>0</v>
      </c>
      <c r="I19" s="84"/>
      <c r="J19" s="84">
        <v>0</v>
      </c>
      <c r="K19" s="84">
        <v>0</v>
      </c>
      <c r="L19" s="84">
        <v>0</v>
      </c>
      <c r="M19" s="84">
        <v>0</v>
      </c>
      <c r="N19" s="84">
        <v>0</v>
      </c>
    </row>
    <row r="20" spans="1:14" x14ac:dyDescent="0.25">
      <c r="A20" s="74" t="s">
        <v>864</v>
      </c>
      <c r="B20" s="74">
        <v>9574</v>
      </c>
      <c r="C20" t="e">
        <f>VLOOKUP(B20,'Waste Lookups'!$B$1:$C$292,2,FALSE)</f>
        <v>#N/A</v>
      </c>
      <c r="D20" s="84">
        <v>0</v>
      </c>
      <c r="E20" s="84">
        <v>0</v>
      </c>
      <c r="F20" s="84">
        <v>33.829090909090908</v>
      </c>
      <c r="G20" s="84">
        <v>0</v>
      </c>
      <c r="H20" s="84">
        <v>32.727272727272727</v>
      </c>
      <c r="I20" s="84"/>
      <c r="J20" s="84">
        <v>0</v>
      </c>
      <c r="K20" s="84">
        <v>0</v>
      </c>
      <c r="L20" s="84">
        <v>0</v>
      </c>
      <c r="M20" s="84">
        <v>0</v>
      </c>
      <c r="N20" s="84">
        <v>0</v>
      </c>
    </row>
    <row r="21" spans="1:14" x14ac:dyDescent="0.25">
      <c r="A21" s="74" t="s">
        <v>866</v>
      </c>
      <c r="B21" s="74">
        <v>9575</v>
      </c>
      <c r="C21" t="e">
        <f>VLOOKUP(B21,'Waste Lookups'!$B$1:$C$292,2,FALSE)</f>
        <v>#N/A</v>
      </c>
      <c r="D21" s="84">
        <v>0</v>
      </c>
      <c r="E21" s="84">
        <v>8478</v>
      </c>
      <c r="F21" s="84">
        <v>704.14909090909089</v>
      </c>
      <c r="G21" s="84">
        <v>2673.4909090909091</v>
      </c>
      <c r="H21" s="84">
        <v>32.727272727272727</v>
      </c>
      <c r="I21" s="84"/>
      <c r="J21" s="84">
        <v>0</v>
      </c>
      <c r="K21" s="84">
        <v>0</v>
      </c>
      <c r="L21" s="84">
        <v>0</v>
      </c>
      <c r="M21" s="84">
        <v>0</v>
      </c>
      <c r="N21" s="84">
        <v>0</v>
      </c>
    </row>
    <row r="22" spans="1:14" x14ac:dyDescent="0.25">
      <c r="A22" s="74" t="s">
        <v>868</v>
      </c>
      <c r="B22" s="74">
        <v>9576</v>
      </c>
      <c r="C22" t="e">
        <f>VLOOKUP(B22,'Waste Lookups'!$B$1:$C$292,2,FALSE)</f>
        <v>#N/A</v>
      </c>
      <c r="D22" s="84">
        <v>0</v>
      </c>
      <c r="E22" s="84">
        <v>3812.727272727273</v>
      </c>
      <c r="F22" s="84">
        <v>19.636363636363637</v>
      </c>
      <c r="G22" s="84">
        <v>0</v>
      </c>
      <c r="H22" s="84">
        <v>0</v>
      </c>
      <c r="I22" s="84"/>
      <c r="J22" s="84">
        <v>0</v>
      </c>
      <c r="K22" s="84">
        <v>0</v>
      </c>
      <c r="L22" s="84">
        <v>0</v>
      </c>
      <c r="M22" s="84">
        <v>0</v>
      </c>
      <c r="N22" s="84">
        <v>0</v>
      </c>
    </row>
    <row r="23" spans="1:14" x14ac:dyDescent="0.25">
      <c r="A23" s="74" t="s">
        <v>870</v>
      </c>
      <c r="B23" s="74">
        <v>9577</v>
      </c>
      <c r="C23" t="e">
        <f>VLOOKUP(B23,'Waste Lookups'!$B$1:$C$292,2,FALSE)</f>
        <v>#N/A</v>
      </c>
      <c r="D23" s="84">
        <v>0</v>
      </c>
      <c r="E23" s="84">
        <v>0</v>
      </c>
      <c r="F23" s="84">
        <v>0</v>
      </c>
      <c r="G23" s="84">
        <v>2087.5636363636363</v>
      </c>
      <c r="H23" s="84">
        <v>32.727272727272727</v>
      </c>
      <c r="I23" s="84"/>
      <c r="J23" s="84">
        <v>0</v>
      </c>
      <c r="K23" s="84">
        <v>0</v>
      </c>
      <c r="L23" s="84">
        <v>0</v>
      </c>
      <c r="M23" s="84">
        <v>0</v>
      </c>
      <c r="N23" s="84">
        <v>0</v>
      </c>
    </row>
    <row r="24" spans="1:14" x14ac:dyDescent="0.25">
      <c r="A24" s="74" t="s">
        <v>872</v>
      </c>
      <c r="B24" s="74">
        <v>9578</v>
      </c>
      <c r="C24" t="e">
        <f>VLOOKUP(B24,'Waste Lookups'!$B$1:$C$292,2,FALSE)</f>
        <v>#N/A</v>
      </c>
      <c r="D24" s="84">
        <v>0</v>
      </c>
      <c r="E24" s="84">
        <v>423.4254545454545</v>
      </c>
      <c r="F24" s="84">
        <v>352.64727272727271</v>
      </c>
      <c r="G24" s="84">
        <v>0</v>
      </c>
      <c r="H24" s="84">
        <v>0</v>
      </c>
      <c r="I24" s="84"/>
      <c r="J24" s="84">
        <v>0</v>
      </c>
      <c r="K24" s="84">
        <v>0</v>
      </c>
      <c r="L24" s="84">
        <v>0</v>
      </c>
      <c r="M24" s="84">
        <v>0</v>
      </c>
      <c r="N24" s="84">
        <v>0</v>
      </c>
    </row>
    <row r="25" spans="1:14" x14ac:dyDescent="0.25">
      <c r="A25" s="74" t="s">
        <v>874</v>
      </c>
      <c r="B25" s="74">
        <v>9579</v>
      </c>
      <c r="C25" t="e">
        <f>VLOOKUP(B25,'Waste Lookups'!$B$1:$C$292,2,FALSE)</f>
        <v>#N/A</v>
      </c>
      <c r="D25" s="84">
        <v>0</v>
      </c>
      <c r="E25" s="84">
        <v>159.97090909090909</v>
      </c>
      <c r="F25" s="84">
        <v>0</v>
      </c>
      <c r="G25" s="84">
        <v>72.327272727272728</v>
      </c>
      <c r="H25" s="84">
        <v>0</v>
      </c>
      <c r="I25" s="84"/>
      <c r="J25" s="84">
        <v>0</v>
      </c>
      <c r="K25" s="84">
        <v>0</v>
      </c>
      <c r="L25" s="84">
        <v>0</v>
      </c>
      <c r="M25" s="84">
        <v>0</v>
      </c>
      <c r="N25" s="84">
        <v>0</v>
      </c>
    </row>
    <row r="26" spans="1:14" x14ac:dyDescent="0.25">
      <c r="A26" s="74" t="s">
        <v>876</v>
      </c>
      <c r="B26" s="74">
        <v>9580</v>
      </c>
      <c r="C26" t="e">
        <f>VLOOKUP(B26,'Waste Lookups'!$B$1:$C$292,2,FALSE)</f>
        <v>#N/A</v>
      </c>
      <c r="D26" s="84">
        <v>0</v>
      </c>
      <c r="E26" s="84">
        <v>0</v>
      </c>
      <c r="F26" s="84">
        <v>794.29090909090905</v>
      </c>
      <c r="G26" s="84">
        <v>0</v>
      </c>
      <c r="H26" s="84">
        <v>0</v>
      </c>
      <c r="I26" s="84"/>
      <c r="J26" s="84">
        <v>0</v>
      </c>
      <c r="K26" s="84">
        <v>0</v>
      </c>
      <c r="L26" s="84">
        <v>0</v>
      </c>
      <c r="M26" s="84">
        <v>0</v>
      </c>
      <c r="N26" s="84">
        <v>0</v>
      </c>
    </row>
    <row r="27" spans="1:14" x14ac:dyDescent="0.25">
      <c r="A27" s="74" t="s">
        <v>878</v>
      </c>
      <c r="B27" s="74">
        <v>9581</v>
      </c>
      <c r="C27" t="e">
        <f>VLOOKUP(B27,'Waste Lookups'!$B$1:$C$292,2,FALSE)</f>
        <v>#N/A</v>
      </c>
      <c r="D27" s="84">
        <v>0</v>
      </c>
      <c r="E27" s="84">
        <v>1592.2472727272727</v>
      </c>
      <c r="F27" s="84">
        <v>806.74909090909091</v>
      </c>
      <c r="G27" s="84">
        <v>606.41454545454542</v>
      </c>
      <c r="H27" s="84">
        <v>0</v>
      </c>
      <c r="I27" s="84"/>
      <c r="J27" s="84">
        <v>0</v>
      </c>
      <c r="K27" s="84">
        <v>0</v>
      </c>
      <c r="L27" s="84">
        <v>0</v>
      </c>
      <c r="M27" s="84">
        <v>0</v>
      </c>
      <c r="N27" s="84">
        <v>0</v>
      </c>
    </row>
    <row r="28" spans="1:14" x14ac:dyDescent="0.25">
      <c r="A28" s="74" t="s">
        <v>880</v>
      </c>
      <c r="B28" s="74">
        <v>9582</v>
      </c>
      <c r="C28" t="e">
        <f>VLOOKUP(B28,'Waste Lookups'!$B$1:$C$292,2,FALSE)</f>
        <v>#N/A</v>
      </c>
      <c r="D28" s="84">
        <v>0</v>
      </c>
      <c r="E28" s="84">
        <v>0</v>
      </c>
      <c r="F28" s="84">
        <v>404.02909090909094</v>
      </c>
      <c r="G28" s="84">
        <v>0</v>
      </c>
      <c r="H28" s="84">
        <v>0</v>
      </c>
      <c r="I28" s="84"/>
      <c r="J28" s="84">
        <v>0</v>
      </c>
      <c r="K28" s="84">
        <v>0</v>
      </c>
      <c r="L28" s="84">
        <v>0</v>
      </c>
      <c r="M28" s="84">
        <v>0</v>
      </c>
      <c r="N28" s="84">
        <v>0</v>
      </c>
    </row>
    <row r="29" spans="1:14" x14ac:dyDescent="0.25">
      <c r="A29" s="74" t="s">
        <v>882</v>
      </c>
      <c r="B29" s="74">
        <v>9583</v>
      </c>
      <c r="C29" t="e">
        <f>VLOOKUP(B29,'Waste Lookups'!$B$1:$C$292,2,FALSE)</f>
        <v>#N/A</v>
      </c>
      <c r="D29" s="84">
        <v>0</v>
      </c>
      <c r="E29" s="84">
        <v>0</v>
      </c>
      <c r="F29" s="84">
        <v>276.50181818181818</v>
      </c>
      <c r="G29" s="84">
        <v>316.51636363636362</v>
      </c>
      <c r="H29" s="84">
        <v>0</v>
      </c>
      <c r="I29" s="84"/>
      <c r="J29" s="84">
        <v>0</v>
      </c>
      <c r="K29" s="84">
        <v>0</v>
      </c>
      <c r="L29" s="84">
        <v>0</v>
      </c>
      <c r="M29" s="84">
        <v>0</v>
      </c>
      <c r="N29" s="84">
        <v>0</v>
      </c>
    </row>
    <row r="30" spans="1:14" x14ac:dyDescent="0.25">
      <c r="A30" s="74" t="s">
        <v>884</v>
      </c>
      <c r="B30" s="74">
        <v>9585</v>
      </c>
      <c r="C30" t="e">
        <f>VLOOKUP(B30,'Waste Lookups'!$B$1:$C$292,2,FALSE)</f>
        <v>#N/A</v>
      </c>
      <c r="D30" s="84">
        <v>0</v>
      </c>
      <c r="E30" s="84">
        <v>0</v>
      </c>
      <c r="F30" s="84">
        <v>355.89818181818185</v>
      </c>
      <c r="G30" s="84">
        <v>893.3236363636363</v>
      </c>
      <c r="H30" s="84">
        <v>0</v>
      </c>
      <c r="I30" s="84"/>
      <c r="J30" s="84">
        <v>0</v>
      </c>
      <c r="K30" s="84">
        <v>0</v>
      </c>
      <c r="L30" s="84">
        <v>0</v>
      </c>
      <c r="M30" s="84">
        <v>0</v>
      </c>
      <c r="N30" s="84">
        <v>0</v>
      </c>
    </row>
    <row r="31" spans="1:14" x14ac:dyDescent="0.25">
      <c r="A31" s="74" t="s">
        <v>886</v>
      </c>
      <c r="B31" s="74">
        <v>9586</v>
      </c>
      <c r="C31" t="e">
        <f>VLOOKUP(B31,'Waste Lookups'!$B$1:$C$292,2,FALSE)</f>
        <v>#N/A</v>
      </c>
      <c r="D31" s="84">
        <v>0</v>
      </c>
      <c r="E31" s="84">
        <v>0</v>
      </c>
      <c r="F31" s="84">
        <v>19.636363636363637</v>
      </c>
      <c r="G31" s="84">
        <v>0</v>
      </c>
      <c r="H31" s="84">
        <v>0</v>
      </c>
      <c r="I31" s="84"/>
      <c r="J31" s="84">
        <v>0</v>
      </c>
      <c r="K31" s="84">
        <v>0</v>
      </c>
      <c r="L31" s="84">
        <v>0</v>
      </c>
      <c r="M31" s="84">
        <v>0</v>
      </c>
      <c r="N31" s="84">
        <v>0</v>
      </c>
    </row>
    <row r="32" spans="1:14" x14ac:dyDescent="0.25">
      <c r="A32" s="74" t="s">
        <v>888</v>
      </c>
      <c r="B32" s="74">
        <v>9587</v>
      </c>
      <c r="C32" t="e">
        <f>VLOOKUP(B32,'Waste Lookups'!$B$1:$C$292,2,FALSE)</f>
        <v>#N/A</v>
      </c>
      <c r="D32" s="84">
        <v>0</v>
      </c>
      <c r="E32" s="84">
        <v>0</v>
      </c>
      <c r="F32" s="84">
        <v>294.31636363636363</v>
      </c>
      <c r="G32" s="84">
        <v>290.77090909090913</v>
      </c>
      <c r="H32" s="84">
        <v>0</v>
      </c>
      <c r="I32" s="84"/>
      <c r="J32" s="84">
        <v>0</v>
      </c>
      <c r="K32" s="84">
        <v>0</v>
      </c>
      <c r="L32" s="84">
        <v>0</v>
      </c>
      <c r="M32" s="84">
        <v>0</v>
      </c>
      <c r="N32" s="84">
        <v>0</v>
      </c>
    </row>
    <row r="33" spans="1:14" x14ac:dyDescent="0.25">
      <c r="A33" s="74" t="s">
        <v>890</v>
      </c>
      <c r="B33" s="74">
        <v>9588</v>
      </c>
      <c r="C33" t="e">
        <f>VLOOKUP(B33,'Waste Lookups'!$B$1:$C$292,2,FALSE)</f>
        <v>#N/A</v>
      </c>
      <c r="D33" s="84">
        <v>469.57090909090914</v>
      </c>
      <c r="E33" s="84">
        <v>0</v>
      </c>
      <c r="F33" s="84">
        <v>19.636363636363637</v>
      </c>
      <c r="G33" s="84">
        <v>0</v>
      </c>
      <c r="H33" s="84">
        <v>0</v>
      </c>
      <c r="I33" s="84"/>
      <c r="J33" s="84">
        <v>0</v>
      </c>
      <c r="K33" s="84">
        <v>0</v>
      </c>
      <c r="L33" s="84">
        <v>0</v>
      </c>
      <c r="M33" s="84">
        <v>0</v>
      </c>
      <c r="N33" s="84">
        <v>0</v>
      </c>
    </row>
    <row r="34" spans="1:14" x14ac:dyDescent="0.25">
      <c r="A34" s="74" t="s">
        <v>892</v>
      </c>
      <c r="B34" s="74">
        <v>9590</v>
      </c>
      <c r="C34" t="e">
        <f>VLOOKUP(B34,'Waste Lookups'!$B$1:$C$292,2,FALSE)</f>
        <v>#N/A</v>
      </c>
      <c r="D34" s="84">
        <v>3290.050909090909</v>
      </c>
      <c r="E34" s="84">
        <v>1230.0218181818182</v>
      </c>
      <c r="F34" s="84">
        <v>0</v>
      </c>
      <c r="G34" s="84">
        <v>0</v>
      </c>
      <c r="H34" s="84">
        <v>0</v>
      </c>
      <c r="I34" s="84"/>
      <c r="J34" s="84">
        <v>0</v>
      </c>
      <c r="K34" s="84">
        <v>0</v>
      </c>
      <c r="L34" s="84">
        <v>0</v>
      </c>
      <c r="M34" s="84">
        <v>0</v>
      </c>
      <c r="N34" s="84">
        <v>0</v>
      </c>
    </row>
    <row r="35" spans="1:14" x14ac:dyDescent="0.25">
      <c r="A35" s="74" t="s">
        <v>894</v>
      </c>
      <c r="B35" s="74">
        <v>9591</v>
      </c>
      <c r="C35" t="e">
        <f>VLOOKUP(B35,'Waste Lookups'!$B$1:$C$292,2,FALSE)</f>
        <v>#N/A</v>
      </c>
      <c r="D35" s="84">
        <v>22.767272727272729</v>
      </c>
      <c r="E35" s="84">
        <v>0</v>
      </c>
      <c r="F35" s="84">
        <v>0</v>
      </c>
      <c r="G35" s="84">
        <v>0</v>
      </c>
      <c r="H35" s="84">
        <v>0</v>
      </c>
      <c r="I35" s="84"/>
      <c r="J35" s="84">
        <v>0</v>
      </c>
      <c r="K35" s="84">
        <v>0</v>
      </c>
      <c r="L35" s="84">
        <v>0</v>
      </c>
      <c r="M35" s="84">
        <v>0</v>
      </c>
      <c r="N35" s="84">
        <v>0</v>
      </c>
    </row>
    <row r="36" spans="1:14" x14ac:dyDescent="0.25">
      <c r="A36" s="74" t="s">
        <v>896</v>
      </c>
      <c r="B36" s="74">
        <v>9592</v>
      </c>
      <c r="C36" t="e">
        <f>VLOOKUP(B36,'Waste Lookups'!$B$1:$C$292,2,FALSE)</f>
        <v>#N/A</v>
      </c>
      <c r="D36" s="84">
        <v>0</v>
      </c>
      <c r="E36" s="84">
        <v>269.90181818181816</v>
      </c>
      <c r="F36" s="84">
        <v>0</v>
      </c>
      <c r="G36" s="84">
        <v>0</v>
      </c>
      <c r="H36" s="84">
        <v>0</v>
      </c>
      <c r="I36" s="84"/>
      <c r="J36" s="84">
        <v>0</v>
      </c>
      <c r="K36" s="84">
        <v>0</v>
      </c>
      <c r="L36" s="84">
        <v>0</v>
      </c>
      <c r="M36" s="84">
        <v>0</v>
      </c>
      <c r="N36" s="84">
        <v>0</v>
      </c>
    </row>
    <row r="37" spans="1:14" x14ac:dyDescent="0.25">
      <c r="A37" s="74" t="s">
        <v>898</v>
      </c>
      <c r="B37" s="74">
        <v>9594</v>
      </c>
      <c r="C37" t="e">
        <f>VLOOKUP(B37,'Waste Lookups'!$B$1:$C$292,2,FALSE)</f>
        <v>#N/A</v>
      </c>
      <c r="D37" s="84">
        <v>134.54181818181817</v>
      </c>
      <c r="E37" s="84">
        <v>143.85818181818183</v>
      </c>
      <c r="F37" s="84">
        <v>0</v>
      </c>
      <c r="G37" s="84">
        <v>0</v>
      </c>
      <c r="H37" s="84">
        <v>0</v>
      </c>
      <c r="I37" s="84"/>
      <c r="J37" s="84">
        <v>0</v>
      </c>
      <c r="K37" s="84">
        <v>0</v>
      </c>
      <c r="L37" s="84">
        <v>0</v>
      </c>
      <c r="M37" s="84">
        <v>0</v>
      </c>
      <c r="N37" s="84">
        <v>0</v>
      </c>
    </row>
    <row r="38" spans="1:14" x14ac:dyDescent="0.25">
      <c r="A38" s="74" t="s">
        <v>900</v>
      </c>
      <c r="B38" s="74">
        <v>9595</v>
      </c>
      <c r="C38" t="e">
        <f>VLOOKUP(B38,'Waste Lookups'!$B$1:$C$292,2,FALSE)</f>
        <v>#N/A</v>
      </c>
      <c r="D38" s="84">
        <v>0</v>
      </c>
      <c r="E38" s="84">
        <v>99705.730909090911</v>
      </c>
      <c r="F38" s="84">
        <v>17141.650909090909</v>
      </c>
      <c r="G38" s="84">
        <v>0</v>
      </c>
      <c r="H38" s="84">
        <v>0</v>
      </c>
      <c r="I38" s="84"/>
      <c r="J38" s="84">
        <v>0</v>
      </c>
      <c r="K38" s="84">
        <v>0</v>
      </c>
      <c r="L38" s="84">
        <v>0</v>
      </c>
      <c r="M38" s="84">
        <v>0</v>
      </c>
      <c r="N38" s="84">
        <v>0</v>
      </c>
    </row>
    <row r="39" spans="1:14" x14ac:dyDescent="0.25">
      <c r="A39" s="74" t="s">
        <v>902</v>
      </c>
      <c r="B39" s="74">
        <v>9607</v>
      </c>
      <c r="C39" t="e">
        <f>VLOOKUP(B39,'Waste Lookups'!$B$1:$C$292,2,FALSE)</f>
        <v>#N/A</v>
      </c>
      <c r="D39" s="84">
        <v>136901.01818181819</v>
      </c>
      <c r="E39" s="84">
        <v>51562.418181818182</v>
      </c>
      <c r="F39" s="84">
        <v>188.55272727272728</v>
      </c>
      <c r="G39" s="84">
        <v>359.89090909090908</v>
      </c>
      <c r="H39" s="84">
        <v>5394.7090909090903</v>
      </c>
      <c r="I39" s="84"/>
      <c r="J39" s="84">
        <v>0</v>
      </c>
      <c r="K39" s="84">
        <v>0</v>
      </c>
      <c r="L39" s="84">
        <v>0</v>
      </c>
      <c r="M39" s="84">
        <v>0</v>
      </c>
      <c r="N39" s="84">
        <v>0</v>
      </c>
    </row>
    <row r="40" spans="1:14" x14ac:dyDescent="0.25">
      <c r="A40" s="74" t="s">
        <v>904</v>
      </c>
      <c r="B40" s="74">
        <v>9608</v>
      </c>
      <c r="C40" t="e">
        <f>VLOOKUP(B40,'Waste Lookups'!$B$1:$C$292,2,FALSE)</f>
        <v>#N/A</v>
      </c>
      <c r="D40" s="84">
        <v>394655.73818181816</v>
      </c>
      <c r="E40" s="84">
        <v>0</v>
      </c>
      <c r="F40" s="84">
        <v>0</v>
      </c>
      <c r="G40" s="84">
        <v>0</v>
      </c>
      <c r="H40" s="84">
        <v>0</v>
      </c>
      <c r="I40" s="84"/>
      <c r="J40" s="84">
        <v>0</v>
      </c>
      <c r="K40" s="84">
        <v>0</v>
      </c>
      <c r="L40" s="84">
        <v>0</v>
      </c>
      <c r="M40" s="84">
        <v>0</v>
      </c>
      <c r="N40" s="84">
        <v>0</v>
      </c>
    </row>
    <row r="41" spans="1:14" x14ac:dyDescent="0.25">
      <c r="A41" s="74" t="s">
        <v>906</v>
      </c>
      <c r="B41" s="74">
        <v>9609</v>
      </c>
      <c r="C41" t="e">
        <f>VLOOKUP(B41,'Waste Lookups'!$B$1:$C$292,2,FALSE)</f>
        <v>#N/A</v>
      </c>
      <c r="D41" s="84">
        <v>0</v>
      </c>
      <c r="E41" s="84">
        <v>65.105454545454549</v>
      </c>
      <c r="F41" s="84">
        <v>0</v>
      </c>
      <c r="G41" s="84">
        <v>0</v>
      </c>
      <c r="H41" s="84">
        <v>0</v>
      </c>
      <c r="I41" s="84"/>
      <c r="J41" s="84">
        <v>0</v>
      </c>
      <c r="K41" s="84">
        <v>0</v>
      </c>
      <c r="L41" s="84">
        <v>0</v>
      </c>
      <c r="M41" s="84">
        <v>0</v>
      </c>
      <c r="N41" s="84">
        <v>0</v>
      </c>
    </row>
    <row r="42" spans="1:14" x14ac:dyDescent="0.25">
      <c r="A42" s="74" t="s">
        <v>908</v>
      </c>
      <c r="B42" s="74">
        <v>9611</v>
      </c>
      <c r="C42" t="e">
        <f>VLOOKUP(B42,'Waste Lookups'!$B$1:$C$292,2,FALSE)</f>
        <v>#N/A</v>
      </c>
      <c r="D42" s="84">
        <v>0</v>
      </c>
      <c r="E42" s="84">
        <v>3427.2654545454543</v>
      </c>
      <c r="F42" s="84">
        <v>0</v>
      </c>
      <c r="G42" s="84">
        <v>0</v>
      </c>
      <c r="H42" s="84">
        <v>0</v>
      </c>
      <c r="I42" s="84"/>
      <c r="J42" s="84">
        <v>0</v>
      </c>
      <c r="K42" s="84">
        <v>0</v>
      </c>
      <c r="L42" s="84">
        <v>0</v>
      </c>
      <c r="M42" s="84">
        <v>0</v>
      </c>
      <c r="N42" s="84">
        <v>0</v>
      </c>
    </row>
    <row r="43" spans="1:14" x14ac:dyDescent="0.25">
      <c r="A43" s="74" t="s">
        <v>910</v>
      </c>
      <c r="B43" s="74">
        <v>9613</v>
      </c>
      <c r="C43" t="e">
        <f>VLOOKUP(B43,'Waste Lookups'!$B$1:$C$292,2,FALSE)</f>
        <v>#N/A</v>
      </c>
      <c r="D43" s="84">
        <v>5582.6072727272731</v>
      </c>
      <c r="E43" s="84">
        <v>0</v>
      </c>
      <c r="F43" s="84">
        <v>0</v>
      </c>
      <c r="G43" s="84">
        <v>0</v>
      </c>
      <c r="H43" s="84">
        <v>0</v>
      </c>
      <c r="I43" s="84"/>
      <c r="J43" s="84">
        <v>0</v>
      </c>
      <c r="K43" s="84">
        <v>0</v>
      </c>
      <c r="L43" s="84">
        <v>0</v>
      </c>
      <c r="M43" s="84">
        <v>0</v>
      </c>
      <c r="N43" s="84">
        <v>0</v>
      </c>
    </row>
    <row r="44" spans="1:14" x14ac:dyDescent="0.25">
      <c r="A44" s="74" t="s">
        <v>657</v>
      </c>
      <c r="B44" s="74">
        <v>2505</v>
      </c>
      <c r="C44" t="str">
        <f>VLOOKUP(B44,'Waste Lookups'!$B$1:$C$292,2,FALSE)</f>
        <v>Bevan House &amp; John Snow House</v>
      </c>
      <c r="D44" s="84">
        <v>2521.3090909090906</v>
      </c>
      <c r="E44" s="84">
        <v>2069.5745454545454</v>
      </c>
      <c r="F44" s="84">
        <v>0</v>
      </c>
      <c r="G44" s="84">
        <v>0</v>
      </c>
      <c r="H44" s="84">
        <v>0</v>
      </c>
      <c r="I44" s="84"/>
      <c r="J44" s="84">
        <v>3618.8100686498851</v>
      </c>
      <c r="K44" s="84">
        <v>2970.4399313501144</v>
      </c>
      <c r="L44" s="84">
        <v>0</v>
      </c>
      <c r="M44" s="84">
        <v>0</v>
      </c>
      <c r="N44" s="84">
        <v>0</v>
      </c>
    </row>
    <row r="45" spans="1:14" x14ac:dyDescent="0.25">
      <c r="A45" s="74" t="s">
        <v>913</v>
      </c>
      <c r="B45" s="74">
        <v>2509</v>
      </c>
      <c r="C45" t="e">
        <f>VLOOKUP(B45,'Waste Lookups'!$B$1:$C$292,2,FALSE)</f>
        <v>#N/A</v>
      </c>
      <c r="D45" s="84">
        <v>8586.6109090909104</v>
      </c>
      <c r="E45" s="84">
        <v>0</v>
      </c>
      <c r="F45" s="84">
        <v>0</v>
      </c>
      <c r="G45" s="84">
        <v>0</v>
      </c>
      <c r="H45" s="84">
        <v>0</v>
      </c>
      <c r="I45" s="84"/>
      <c r="J45" s="84">
        <v>0</v>
      </c>
      <c r="K45" s="84">
        <v>0</v>
      </c>
      <c r="L45" s="84">
        <v>0</v>
      </c>
      <c r="M45" s="84">
        <v>0</v>
      </c>
      <c r="N45" s="84">
        <v>0</v>
      </c>
    </row>
    <row r="46" spans="1:14" x14ac:dyDescent="0.25">
      <c r="A46" s="74" t="s">
        <v>915</v>
      </c>
      <c r="B46" s="74">
        <v>2510</v>
      </c>
      <c r="C46" t="e">
        <f>VLOOKUP(B46,'Waste Lookups'!$B$1:$C$292,2,FALSE)</f>
        <v>#N/A</v>
      </c>
      <c r="D46" s="84">
        <v>8847.8290909090938</v>
      </c>
      <c r="E46" s="84">
        <v>841.09090909090912</v>
      </c>
      <c r="F46" s="84">
        <v>0</v>
      </c>
      <c r="G46" s="84">
        <v>0</v>
      </c>
      <c r="H46" s="84">
        <v>0</v>
      </c>
      <c r="I46" s="84"/>
      <c r="J46" s="84">
        <v>2670.9724459917288</v>
      </c>
      <c r="K46" s="84">
        <v>253.90755400827103</v>
      </c>
      <c r="L46" s="84">
        <v>0</v>
      </c>
      <c r="M46" s="84">
        <v>0</v>
      </c>
      <c r="N46" s="84">
        <v>0</v>
      </c>
    </row>
    <row r="47" spans="1:14" x14ac:dyDescent="0.25">
      <c r="A47" s="74" t="s">
        <v>917</v>
      </c>
      <c r="B47" s="74">
        <v>2512</v>
      </c>
      <c r="C47" t="e">
        <f>VLOOKUP(B47,'Waste Lookups'!$B$1:$C$292,2,FALSE)</f>
        <v>#N/A</v>
      </c>
      <c r="D47" s="84">
        <v>0</v>
      </c>
      <c r="E47" s="84">
        <v>1332.9709090909091</v>
      </c>
      <c r="F47" s="84">
        <v>0</v>
      </c>
      <c r="G47" s="84">
        <v>0</v>
      </c>
      <c r="H47" s="84">
        <v>0</v>
      </c>
      <c r="I47" s="84"/>
      <c r="J47" s="84">
        <v>0</v>
      </c>
      <c r="K47" s="84">
        <v>0</v>
      </c>
      <c r="L47" s="84">
        <v>0</v>
      </c>
      <c r="M47" s="84">
        <v>0</v>
      </c>
      <c r="N47" s="84">
        <v>0</v>
      </c>
    </row>
    <row r="48" spans="1:14" x14ac:dyDescent="0.25">
      <c r="A48" s="74" t="s">
        <v>919</v>
      </c>
      <c r="B48" s="74">
        <v>2515</v>
      </c>
      <c r="C48" t="e">
        <f>VLOOKUP(B48,'Waste Lookups'!$B$1:$C$292,2,FALSE)</f>
        <v>#N/A</v>
      </c>
      <c r="D48" s="84">
        <v>724.38545454545454</v>
      </c>
      <c r="E48" s="84">
        <v>0</v>
      </c>
      <c r="F48" s="84">
        <v>0</v>
      </c>
      <c r="G48" s="84">
        <v>0</v>
      </c>
      <c r="H48" s="84">
        <v>0</v>
      </c>
      <c r="I48" s="84"/>
      <c r="J48" s="84">
        <v>0</v>
      </c>
      <c r="K48" s="84">
        <v>0</v>
      </c>
      <c r="L48" s="84">
        <v>0</v>
      </c>
      <c r="M48" s="84">
        <v>0</v>
      </c>
      <c r="N48" s="84">
        <v>0</v>
      </c>
    </row>
    <row r="49" spans="1:14" x14ac:dyDescent="0.25">
      <c r="A49" s="74" t="s">
        <v>921</v>
      </c>
      <c r="B49" s="74">
        <v>2521</v>
      </c>
      <c r="C49" t="e">
        <f>VLOOKUP(B49,'Waste Lookups'!$B$1:$C$292,2,FALSE)</f>
        <v>#N/A</v>
      </c>
      <c r="D49" s="84">
        <v>542.24727272727273</v>
      </c>
      <c r="E49" s="84">
        <v>509.61818181818182</v>
      </c>
      <c r="F49" s="84">
        <v>0</v>
      </c>
      <c r="G49" s="84">
        <v>0</v>
      </c>
      <c r="H49" s="84">
        <v>0</v>
      </c>
      <c r="I49" s="84"/>
      <c r="J49" s="84">
        <v>503.91628441936916</v>
      </c>
      <c r="K49" s="84">
        <v>473.59371558063071</v>
      </c>
      <c r="L49" s="84">
        <v>0</v>
      </c>
      <c r="M49" s="84">
        <v>0</v>
      </c>
      <c r="N49" s="84">
        <v>0</v>
      </c>
    </row>
    <row r="50" spans="1:14" x14ac:dyDescent="0.25">
      <c r="A50" s="74" t="s">
        <v>923</v>
      </c>
      <c r="B50" s="74">
        <v>2522</v>
      </c>
      <c r="C50" t="e">
        <f>VLOOKUP(B50,'Waste Lookups'!$B$1:$C$292,2,FALSE)</f>
        <v>#N/A</v>
      </c>
      <c r="D50" s="84">
        <v>1476.84</v>
      </c>
      <c r="E50" s="84">
        <v>2386.7236363636362</v>
      </c>
      <c r="F50" s="84">
        <v>0</v>
      </c>
      <c r="G50" s="84">
        <v>0</v>
      </c>
      <c r="H50" s="84">
        <v>0</v>
      </c>
      <c r="I50" s="84"/>
      <c r="J50" s="84">
        <v>1085.0036903094649</v>
      </c>
      <c r="K50" s="84">
        <v>1753.4763096905353</v>
      </c>
      <c r="L50" s="84">
        <v>0</v>
      </c>
      <c r="M50" s="84">
        <v>0</v>
      </c>
      <c r="N50" s="84">
        <v>0</v>
      </c>
    </row>
    <row r="51" spans="1:14" x14ac:dyDescent="0.25">
      <c r="A51" s="74" t="s">
        <v>925</v>
      </c>
      <c r="B51" s="74">
        <v>2525</v>
      </c>
      <c r="C51" t="e">
        <f>VLOOKUP(B51,'Waste Lookups'!$B$1:$C$292,2,FALSE)</f>
        <v>#N/A</v>
      </c>
      <c r="D51" s="84">
        <v>2569.9309090909092</v>
      </c>
      <c r="E51" s="84">
        <v>2769.5890909090908</v>
      </c>
      <c r="F51" s="84">
        <v>0</v>
      </c>
      <c r="G51" s="84">
        <v>0</v>
      </c>
      <c r="H51" s="84">
        <v>0</v>
      </c>
      <c r="I51" s="84"/>
      <c r="J51" s="84">
        <v>2654.5392923367986</v>
      </c>
      <c r="K51" s="84">
        <v>2860.7707076632014</v>
      </c>
      <c r="L51" s="84">
        <v>0</v>
      </c>
      <c r="M51" s="84">
        <v>0</v>
      </c>
      <c r="N51" s="84">
        <v>0</v>
      </c>
    </row>
    <row r="52" spans="1:14" x14ac:dyDescent="0.25">
      <c r="A52" s="74" t="s">
        <v>927</v>
      </c>
      <c r="B52" s="74">
        <v>2529</v>
      </c>
      <c r="C52" t="e">
        <f>VLOOKUP(B52,'Waste Lookups'!$B$1:$C$292,2,FALSE)</f>
        <v>#N/A</v>
      </c>
      <c r="D52" s="84">
        <v>0</v>
      </c>
      <c r="E52" s="84">
        <v>1007.64</v>
      </c>
      <c r="F52" s="84">
        <v>0</v>
      </c>
      <c r="G52" s="84">
        <v>0</v>
      </c>
      <c r="H52" s="84">
        <v>0</v>
      </c>
      <c r="I52" s="84"/>
      <c r="J52" s="84">
        <v>0</v>
      </c>
      <c r="K52" s="84">
        <v>956.92</v>
      </c>
      <c r="L52" s="84">
        <v>0</v>
      </c>
      <c r="M52" s="84">
        <v>0</v>
      </c>
      <c r="N52" s="84">
        <v>0</v>
      </c>
    </row>
    <row r="53" spans="1:14" x14ac:dyDescent="0.25">
      <c r="A53" s="74" t="s">
        <v>929</v>
      </c>
      <c r="B53" s="74">
        <v>2530</v>
      </c>
      <c r="C53" t="e">
        <f>VLOOKUP(B53,'Waste Lookups'!$B$1:$C$292,2,FALSE)</f>
        <v>#N/A</v>
      </c>
      <c r="D53" s="84">
        <v>1167.6436363636362</v>
      </c>
      <c r="E53" s="84">
        <v>0</v>
      </c>
      <c r="F53" s="84">
        <v>0</v>
      </c>
      <c r="G53" s="84">
        <v>1401.1745454545455</v>
      </c>
      <c r="H53" s="84">
        <v>0</v>
      </c>
      <c r="I53" s="84"/>
      <c r="J53" s="84">
        <v>1091.944527104788</v>
      </c>
      <c r="K53" s="84">
        <v>0</v>
      </c>
      <c r="L53" s="84">
        <v>0</v>
      </c>
      <c r="M53" s="84">
        <v>1310.3354728952118</v>
      </c>
      <c r="N53" s="84">
        <v>0</v>
      </c>
    </row>
    <row r="54" spans="1:14" x14ac:dyDescent="0.25">
      <c r="A54" s="74" t="s">
        <v>931</v>
      </c>
      <c r="B54" s="74">
        <v>2531</v>
      </c>
      <c r="C54" t="e">
        <f>VLOOKUP(B54,'Waste Lookups'!$B$1:$C$292,2,FALSE)</f>
        <v>#N/A</v>
      </c>
      <c r="D54" s="84">
        <v>0</v>
      </c>
      <c r="E54" s="84">
        <v>327.27272727272725</v>
      </c>
      <c r="F54" s="84">
        <v>0</v>
      </c>
      <c r="G54" s="84">
        <v>0</v>
      </c>
      <c r="H54" s="84">
        <v>0</v>
      </c>
      <c r="I54" s="84"/>
      <c r="J54" s="84">
        <v>0</v>
      </c>
      <c r="K54" s="84">
        <v>0</v>
      </c>
      <c r="L54" s="84">
        <v>0</v>
      </c>
      <c r="M54" s="84">
        <v>0</v>
      </c>
      <c r="N54" s="84">
        <v>0</v>
      </c>
    </row>
    <row r="55" spans="1:14" x14ac:dyDescent="0.25">
      <c r="A55" s="74" t="s">
        <v>933</v>
      </c>
      <c r="B55" s="74">
        <v>2544</v>
      </c>
      <c r="C55" t="e">
        <f>VLOOKUP(B55,'Waste Lookups'!$B$1:$C$292,2,FALSE)</f>
        <v>#N/A</v>
      </c>
      <c r="D55" s="84">
        <v>0</v>
      </c>
      <c r="E55" s="84">
        <v>2875.9745454545455</v>
      </c>
      <c r="F55" s="84">
        <v>0</v>
      </c>
      <c r="G55" s="84">
        <v>0</v>
      </c>
      <c r="H55" s="84">
        <v>0</v>
      </c>
      <c r="I55" s="84"/>
      <c r="J55" s="84">
        <v>0</v>
      </c>
      <c r="K55" s="84">
        <v>5735.51</v>
      </c>
      <c r="L55" s="84">
        <v>0</v>
      </c>
      <c r="M55" s="84">
        <v>0</v>
      </c>
      <c r="N55" s="84">
        <v>0</v>
      </c>
    </row>
    <row r="56" spans="1:14" x14ac:dyDescent="0.25">
      <c r="A56" s="74" t="s">
        <v>935</v>
      </c>
      <c r="B56" s="74">
        <v>2545</v>
      </c>
      <c r="C56" t="e">
        <f>VLOOKUP(B56,'Waste Lookups'!$B$1:$C$292,2,FALSE)</f>
        <v>#N/A</v>
      </c>
      <c r="D56" s="84">
        <v>0</v>
      </c>
      <c r="E56" s="84">
        <v>216.25090909090909</v>
      </c>
      <c r="F56" s="84">
        <v>0</v>
      </c>
      <c r="G56" s="84">
        <v>0</v>
      </c>
      <c r="H56" s="84">
        <v>0</v>
      </c>
      <c r="I56" s="84"/>
      <c r="J56" s="84">
        <v>0</v>
      </c>
      <c r="K56" s="84">
        <v>51.510000000000005</v>
      </c>
      <c r="L56" s="84">
        <v>0</v>
      </c>
      <c r="M56" s="84">
        <v>0</v>
      </c>
      <c r="N56" s="84">
        <v>0</v>
      </c>
    </row>
    <row r="57" spans="1:14" x14ac:dyDescent="0.25">
      <c r="A57" s="74" t="s">
        <v>937</v>
      </c>
      <c r="B57" s="74">
        <v>2569</v>
      </c>
      <c r="C57" t="e">
        <f>VLOOKUP(B57,'Waste Lookups'!$B$1:$C$292,2,FALSE)</f>
        <v>#N/A</v>
      </c>
      <c r="D57" s="84">
        <v>0</v>
      </c>
      <c r="E57" s="84">
        <v>0</v>
      </c>
      <c r="F57" s="84">
        <v>0</v>
      </c>
      <c r="G57" s="84">
        <v>0</v>
      </c>
      <c r="H57" s="84">
        <v>53.672727272727272</v>
      </c>
      <c r="I57" s="84"/>
      <c r="J57" s="84">
        <v>0</v>
      </c>
      <c r="K57" s="84">
        <v>0</v>
      </c>
      <c r="L57" s="84">
        <v>0</v>
      </c>
      <c r="M57" s="84">
        <v>0</v>
      </c>
      <c r="N57" s="84">
        <v>0</v>
      </c>
    </row>
    <row r="58" spans="1:14" x14ac:dyDescent="0.25">
      <c r="A58" s="74" t="s">
        <v>939</v>
      </c>
      <c r="B58" s="74">
        <v>2571</v>
      </c>
      <c r="C58" t="e">
        <f>VLOOKUP(B58,'Waste Lookups'!$B$1:$C$292,2,FALSE)</f>
        <v>#N/A</v>
      </c>
      <c r="D58" s="84">
        <v>0</v>
      </c>
      <c r="E58" s="84">
        <v>0</v>
      </c>
      <c r="F58" s="84">
        <v>0</v>
      </c>
      <c r="G58" s="84">
        <v>0</v>
      </c>
      <c r="H58" s="84">
        <v>433.57090909090914</v>
      </c>
      <c r="I58" s="84"/>
      <c r="J58" s="84">
        <v>0</v>
      </c>
      <c r="K58" s="84">
        <v>0</v>
      </c>
      <c r="L58" s="84">
        <v>0</v>
      </c>
      <c r="M58" s="84">
        <v>0</v>
      </c>
      <c r="N58" s="84">
        <v>0</v>
      </c>
    </row>
    <row r="59" spans="1:14" x14ac:dyDescent="0.25">
      <c r="A59" s="74" t="s">
        <v>658</v>
      </c>
      <c r="B59" s="74">
        <v>2625</v>
      </c>
      <c r="C59" t="str">
        <f>VLOOKUP(B59,'Waste Lookups'!$B$1:$C$292,2,FALSE)</f>
        <v>Old Market House</v>
      </c>
      <c r="D59" s="84">
        <v>0</v>
      </c>
      <c r="E59" s="84">
        <v>6259.1236363636363</v>
      </c>
      <c r="F59" s="84">
        <v>0</v>
      </c>
      <c r="G59" s="84">
        <v>0</v>
      </c>
      <c r="H59" s="84">
        <v>0</v>
      </c>
      <c r="I59" s="84"/>
      <c r="J59" s="84">
        <v>0</v>
      </c>
      <c r="K59" s="84">
        <v>4609.18</v>
      </c>
      <c r="L59" s="84">
        <v>0</v>
      </c>
      <c r="M59" s="84">
        <v>0</v>
      </c>
      <c r="N59" s="84">
        <v>0</v>
      </c>
    </row>
    <row r="60" spans="1:14" x14ac:dyDescent="0.25">
      <c r="A60" s="74" t="s">
        <v>942</v>
      </c>
      <c r="B60" s="74">
        <v>2626</v>
      </c>
      <c r="C60" t="e">
        <f>VLOOKUP(B60,'Waste Lookups'!$B$1:$C$292,2,FALSE)</f>
        <v>#N/A</v>
      </c>
      <c r="D60" s="84">
        <v>0</v>
      </c>
      <c r="E60" s="84">
        <v>178.18909090909091</v>
      </c>
      <c r="F60" s="84">
        <v>0</v>
      </c>
      <c r="G60" s="84">
        <v>0</v>
      </c>
      <c r="H60" s="84">
        <v>0</v>
      </c>
      <c r="I60" s="84"/>
      <c r="J60" s="84">
        <v>0</v>
      </c>
      <c r="K60" s="84">
        <v>0</v>
      </c>
      <c r="L60" s="84">
        <v>0</v>
      </c>
      <c r="M60" s="84">
        <v>0</v>
      </c>
      <c r="N60" s="84">
        <v>0</v>
      </c>
    </row>
    <row r="61" spans="1:14" x14ac:dyDescent="0.25">
      <c r="A61" s="74" t="s">
        <v>944</v>
      </c>
      <c r="B61" s="74">
        <v>2628</v>
      </c>
      <c r="C61" t="e">
        <f>VLOOKUP(B61,'Waste Lookups'!$B$1:$C$292,2,FALSE)</f>
        <v>#N/A</v>
      </c>
      <c r="D61" s="84">
        <v>0</v>
      </c>
      <c r="E61" s="84">
        <v>4937.5090909090914</v>
      </c>
      <c r="F61" s="84">
        <v>0</v>
      </c>
      <c r="G61" s="84">
        <v>0</v>
      </c>
      <c r="H61" s="84">
        <v>0</v>
      </c>
      <c r="I61" s="84"/>
      <c r="J61" s="84">
        <v>0</v>
      </c>
      <c r="K61" s="84">
        <v>0</v>
      </c>
      <c r="L61" s="84">
        <v>0</v>
      </c>
      <c r="M61" s="84">
        <v>0</v>
      </c>
      <c r="N61" s="84">
        <v>0</v>
      </c>
    </row>
    <row r="62" spans="1:14" x14ac:dyDescent="0.25">
      <c r="A62" s="74" t="s">
        <v>946</v>
      </c>
      <c r="B62" s="74">
        <v>2636</v>
      </c>
      <c r="C62" t="e">
        <f>VLOOKUP(B62,'Waste Lookups'!$B$1:$C$292,2,FALSE)</f>
        <v>#N/A</v>
      </c>
      <c r="D62" s="84">
        <v>0</v>
      </c>
      <c r="E62" s="84">
        <v>1367.5309090909091</v>
      </c>
      <c r="F62" s="84">
        <v>0</v>
      </c>
      <c r="G62" s="84">
        <v>0</v>
      </c>
      <c r="H62" s="84">
        <v>0</v>
      </c>
      <c r="I62" s="84"/>
      <c r="J62" s="84">
        <v>0</v>
      </c>
      <c r="K62" s="84">
        <v>0</v>
      </c>
      <c r="L62" s="84">
        <v>0</v>
      </c>
      <c r="M62" s="84">
        <v>0</v>
      </c>
      <c r="N62" s="84">
        <v>0</v>
      </c>
    </row>
    <row r="63" spans="1:14" x14ac:dyDescent="0.25">
      <c r="A63" s="74" t="s">
        <v>948</v>
      </c>
      <c r="B63" s="74">
        <v>2651</v>
      </c>
      <c r="C63" t="e">
        <f>VLOOKUP(B63,'Waste Lookups'!$B$1:$C$292,2,FALSE)</f>
        <v>#N/A</v>
      </c>
      <c r="D63" s="84">
        <v>0</v>
      </c>
      <c r="E63" s="84">
        <v>646.69090909090903</v>
      </c>
      <c r="F63" s="84">
        <v>0</v>
      </c>
      <c r="G63" s="84">
        <v>0</v>
      </c>
      <c r="H63" s="84">
        <v>0</v>
      </c>
      <c r="I63" s="84"/>
      <c r="J63" s="84">
        <v>0</v>
      </c>
      <c r="K63" s="84">
        <v>593.65999999999985</v>
      </c>
      <c r="L63" s="84">
        <v>0</v>
      </c>
      <c r="M63" s="84">
        <v>0</v>
      </c>
      <c r="N63" s="84">
        <v>0</v>
      </c>
    </row>
    <row r="64" spans="1:14" x14ac:dyDescent="0.25">
      <c r="A64" s="74" t="s">
        <v>950</v>
      </c>
      <c r="B64" s="74">
        <v>2652</v>
      </c>
      <c r="C64" t="e">
        <f>VLOOKUP(B64,'Waste Lookups'!$B$1:$C$292,2,FALSE)</f>
        <v>#N/A</v>
      </c>
      <c r="D64" s="84">
        <v>0</v>
      </c>
      <c r="E64" s="84">
        <v>1266.8400000000001</v>
      </c>
      <c r="F64" s="84">
        <v>0</v>
      </c>
      <c r="G64" s="84">
        <v>669.73090909090899</v>
      </c>
      <c r="H64" s="84">
        <v>0</v>
      </c>
      <c r="I64" s="84"/>
      <c r="J64" s="84">
        <v>0</v>
      </c>
      <c r="K64" s="84">
        <v>1199.3097875720348</v>
      </c>
      <c r="L64" s="84">
        <v>0</v>
      </c>
      <c r="M64" s="84">
        <v>634.03021242796535</v>
      </c>
      <c r="N64" s="84">
        <v>0</v>
      </c>
    </row>
    <row r="65" spans="1:14" x14ac:dyDescent="0.25">
      <c r="A65" s="74" t="s">
        <v>952</v>
      </c>
      <c r="B65" s="74">
        <v>2653</v>
      </c>
      <c r="C65" t="e">
        <f>VLOOKUP(B65,'Waste Lookups'!$B$1:$C$292,2,FALSE)</f>
        <v>#N/A</v>
      </c>
      <c r="D65" s="84">
        <v>0</v>
      </c>
      <c r="E65" s="84">
        <v>530.29090909090905</v>
      </c>
      <c r="F65" s="84">
        <v>0</v>
      </c>
      <c r="G65" s="84">
        <v>0</v>
      </c>
      <c r="H65" s="84">
        <v>0</v>
      </c>
      <c r="I65" s="84"/>
      <c r="J65" s="84">
        <v>0</v>
      </c>
      <c r="K65" s="84">
        <v>304.49</v>
      </c>
      <c r="L65" s="84">
        <v>0</v>
      </c>
      <c r="M65" s="84">
        <v>0</v>
      </c>
      <c r="N65" s="84">
        <v>0</v>
      </c>
    </row>
    <row r="66" spans="1:14" x14ac:dyDescent="0.25">
      <c r="A66" s="74" t="s">
        <v>954</v>
      </c>
      <c r="B66" s="74">
        <v>2655</v>
      </c>
      <c r="C66" t="e">
        <f>VLOOKUP(B66,'Waste Lookups'!$B$1:$C$292,2,FALSE)</f>
        <v>#N/A</v>
      </c>
      <c r="D66" s="84">
        <v>0</v>
      </c>
      <c r="E66" s="84">
        <v>800.52</v>
      </c>
      <c r="F66" s="84">
        <v>0</v>
      </c>
      <c r="G66" s="84">
        <v>0</v>
      </c>
      <c r="H66" s="84">
        <v>0</v>
      </c>
      <c r="I66" s="84"/>
      <c r="J66" s="84">
        <v>0</v>
      </c>
      <c r="K66" s="84">
        <v>16057.49</v>
      </c>
      <c r="L66" s="84">
        <v>0</v>
      </c>
      <c r="M66" s="84">
        <v>0</v>
      </c>
      <c r="N66" s="84">
        <v>0</v>
      </c>
    </row>
    <row r="67" spans="1:14" x14ac:dyDescent="0.25">
      <c r="A67" s="74" t="s">
        <v>956</v>
      </c>
      <c r="B67" s="74">
        <v>2656</v>
      </c>
      <c r="C67" t="e">
        <f>VLOOKUP(B67,'Waste Lookups'!$B$1:$C$292,2,FALSE)</f>
        <v>#N/A</v>
      </c>
      <c r="D67" s="84">
        <v>0</v>
      </c>
      <c r="E67" s="84">
        <v>778.58181818181833</v>
      </c>
      <c r="F67" s="84">
        <v>0</v>
      </c>
      <c r="G67" s="84">
        <v>0</v>
      </c>
      <c r="H67" s="84">
        <v>0</v>
      </c>
      <c r="I67" s="84"/>
      <c r="J67" s="84">
        <v>0</v>
      </c>
      <c r="K67" s="84">
        <v>1081.67</v>
      </c>
      <c r="L67" s="84">
        <v>0</v>
      </c>
      <c r="M67" s="84">
        <v>0</v>
      </c>
      <c r="N67" s="84">
        <v>0</v>
      </c>
    </row>
    <row r="68" spans="1:14" x14ac:dyDescent="0.25">
      <c r="A68" s="74" t="s">
        <v>958</v>
      </c>
      <c r="B68" s="74">
        <v>2660</v>
      </c>
      <c r="C68" t="e">
        <f>VLOOKUP(B68,'Waste Lookups'!$B$1:$C$292,2,FALSE)</f>
        <v>#N/A</v>
      </c>
      <c r="D68" s="84">
        <v>0</v>
      </c>
      <c r="E68" s="84">
        <v>904.09090909090912</v>
      </c>
      <c r="F68" s="84">
        <v>0</v>
      </c>
      <c r="G68" s="84">
        <v>0</v>
      </c>
      <c r="H68" s="84">
        <v>0</v>
      </c>
      <c r="I68" s="84"/>
      <c r="J68" s="84">
        <v>0</v>
      </c>
      <c r="K68" s="84">
        <v>1079.96</v>
      </c>
      <c r="L68" s="84">
        <v>0</v>
      </c>
      <c r="M68" s="84">
        <v>0</v>
      </c>
      <c r="N68" s="84">
        <v>0</v>
      </c>
    </row>
    <row r="69" spans="1:14" x14ac:dyDescent="0.25">
      <c r="A69" s="74" t="s">
        <v>960</v>
      </c>
      <c r="B69" s="74">
        <v>2662</v>
      </c>
      <c r="C69" t="e">
        <f>VLOOKUP(B69,'Waste Lookups'!$B$1:$C$292,2,FALSE)</f>
        <v>#N/A</v>
      </c>
      <c r="D69" s="84">
        <v>0</v>
      </c>
      <c r="E69" s="84">
        <v>808.36363636363626</v>
      </c>
      <c r="F69" s="84">
        <v>0</v>
      </c>
      <c r="G69" s="84">
        <v>0</v>
      </c>
      <c r="H69" s="84">
        <v>0</v>
      </c>
      <c r="I69" s="84"/>
      <c r="J69" s="84">
        <v>0</v>
      </c>
      <c r="K69" s="84">
        <v>610.92999999999984</v>
      </c>
      <c r="L69" s="84">
        <v>0</v>
      </c>
      <c r="M69" s="84">
        <v>0</v>
      </c>
      <c r="N69" s="84">
        <v>0</v>
      </c>
    </row>
    <row r="70" spans="1:14" x14ac:dyDescent="0.25">
      <c r="A70" s="74" t="s">
        <v>962</v>
      </c>
      <c r="B70" s="74">
        <v>2663</v>
      </c>
      <c r="C70" t="e">
        <f>VLOOKUP(B70,'Waste Lookups'!$B$1:$C$292,2,FALSE)</f>
        <v>#N/A</v>
      </c>
      <c r="D70" s="84">
        <v>0</v>
      </c>
      <c r="E70" s="84">
        <v>6484.221818181818</v>
      </c>
      <c r="F70" s="84">
        <v>0</v>
      </c>
      <c r="G70" s="84">
        <v>0</v>
      </c>
      <c r="H70" s="84">
        <v>0</v>
      </c>
      <c r="I70" s="84"/>
      <c r="J70" s="84">
        <v>0</v>
      </c>
      <c r="K70" s="84">
        <v>7848.62</v>
      </c>
      <c r="L70" s="84">
        <v>0</v>
      </c>
      <c r="M70" s="84">
        <v>0</v>
      </c>
      <c r="N70" s="84">
        <v>0</v>
      </c>
    </row>
    <row r="71" spans="1:14" x14ac:dyDescent="0.25">
      <c r="A71" s="74" t="s">
        <v>964</v>
      </c>
      <c r="B71" s="74">
        <v>2664</v>
      </c>
      <c r="C71" t="e">
        <f>VLOOKUP(B71,'Waste Lookups'!$B$1:$C$292,2,FALSE)</f>
        <v>#N/A</v>
      </c>
      <c r="D71" s="84">
        <v>0</v>
      </c>
      <c r="E71" s="84">
        <v>1022.5090909090909</v>
      </c>
      <c r="F71" s="84">
        <v>0</v>
      </c>
      <c r="G71" s="84">
        <v>0</v>
      </c>
      <c r="H71" s="84">
        <v>0</v>
      </c>
      <c r="I71" s="84"/>
      <c r="J71" s="84">
        <v>0</v>
      </c>
      <c r="K71" s="84">
        <v>920.94999999999993</v>
      </c>
      <c r="L71" s="84">
        <v>0</v>
      </c>
      <c r="M71" s="84">
        <v>0</v>
      </c>
      <c r="N71" s="84">
        <v>0</v>
      </c>
    </row>
    <row r="72" spans="1:14" x14ac:dyDescent="0.25">
      <c r="A72" s="74" t="s">
        <v>966</v>
      </c>
      <c r="B72" s="74">
        <v>2665</v>
      </c>
      <c r="C72" t="e">
        <f>VLOOKUP(B72,'Waste Lookups'!$B$1:$C$292,2,FALSE)</f>
        <v>#N/A</v>
      </c>
      <c r="D72" s="84">
        <v>0</v>
      </c>
      <c r="E72" s="84">
        <v>323.34545454545452</v>
      </c>
      <c r="F72" s="84">
        <v>0</v>
      </c>
      <c r="G72" s="84">
        <v>0</v>
      </c>
      <c r="H72" s="84">
        <v>0</v>
      </c>
      <c r="I72" s="84"/>
      <c r="J72" s="84">
        <v>0</v>
      </c>
      <c r="K72" s="84">
        <v>592.79999999999995</v>
      </c>
      <c r="L72" s="84">
        <v>0</v>
      </c>
      <c r="M72" s="84">
        <v>0</v>
      </c>
      <c r="N72" s="84">
        <v>0</v>
      </c>
    </row>
    <row r="73" spans="1:14" x14ac:dyDescent="0.25">
      <c r="A73" s="74" t="s">
        <v>968</v>
      </c>
      <c r="B73" s="74">
        <v>2667</v>
      </c>
      <c r="C73" t="e">
        <f>VLOOKUP(B73,'Waste Lookups'!$B$1:$C$292,2,FALSE)</f>
        <v>#N/A</v>
      </c>
      <c r="D73" s="84">
        <v>0</v>
      </c>
      <c r="E73" s="84">
        <v>415.21090909090907</v>
      </c>
      <c r="F73" s="84">
        <v>0</v>
      </c>
      <c r="G73" s="84">
        <v>0</v>
      </c>
      <c r="H73" s="84">
        <v>0</v>
      </c>
      <c r="I73" s="84"/>
      <c r="J73" s="84">
        <v>0</v>
      </c>
      <c r="K73" s="84">
        <v>380.64</v>
      </c>
      <c r="L73" s="84">
        <v>0</v>
      </c>
      <c r="M73" s="84">
        <v>0</v>
      </c>
      <c r="N73" s="84">
        <v>0</v>
      </c>
    </row>
    <row r="74" spans="1:14" x14ac:dyDescent="0.25">
      <c r="A74" s="74" t="s">
        <v>970</v>
      </c>
      <c r="B74" s="74">
        <v>2669</v>
      </c>
      <c r="C74" t="e">
        <f>VLOOKUP(B74,'Waste Lookups'!$B$1:$C$292,2,FALSE)</f>
        <v>#N/A</v>
      </c>
      <c r="D74" s="84">
        <v>0</v>
      </c>
      <c r="E74" s="84">
        <v>5137.1127272727281</v>
      </c>
      <c r="F74" s="84">
        <v>0</v>
      </c>
      <c r="G74" s="84">
        <v>2875.08</v>
      </c>
      <c r="H74" s="84">
        <v>0</v>
      </c>
      <c r="I74" s="84"/>
      <c r="J74" s="84">
        <v>0</v>
      </c>
      <c r="K74" s="84">
        <v>3966.5224595241889</v>
      </c>
      <c r="L74" s="84">
        <v>0</v>
      </c>
      <c r="M74" s="84">
        <v>2219.9375404758111</v>
      </c>
      <c r="N74" s="84">
        <v>0</v>
      </c>
    </row>
    <row r="75" spans="1:14" x14ac:dyDescent="0.25">
      <c r="A75" s="74" t="s">
        <v>972</v>
      </c>
      <c r="B75" s="74">
        <v>2670</v>
      </c>
      <c r="C75" t="e">
        <f>VLOOKUP(B75,'Waste Lookups'!$B$1:$C$292,2,FALSE)</f>
        <v>#N/A</v>
      </c>
      <c r="D75" s="84">
        <v>0</v>
      </c>
      <c r="E75" s="84">
        <v>2472.2836363636366</v>
      </c>
      <c r="F75" s="84">
        <v>0</v>
      </c>
      <c r="G75" s="84">
        <v>669.73090909090899</v>
      </c>
      <c r="H75" s="84">
        <v>0</v>
      </c>
      <c r="I75" s="84"/>
      <c r="J75" s="84">
        <v>0</v>
      </c>
      <c r="K75" s="84">
        <v>2209.8981740724544</v>
      </c>
      <c r="L75" s="84">
        <v>0</v>
      </c>
      <c r="M75" s="84">
        <v>598.65182592754616</v>
      </c>
      <c r="N75" s="84">
        <v>0</v>
      </c>
    </row>
    <row r="76" spans="1:14" x14ac:dyDescent="0.25">
      <c r="A76" s="74" t="s">
        <v>662</v>
      </c>
      <c r="B76" s="74">
        <v>2673</v>
      </c>
      <c r="C76" t="str">
        <f>VLOOKUP(B76,'Waste Lookups'!$B$1:$C$292,2,FALSE)</f>
        <v>RIDLEY HOUSE</v>
      </c>
      <c r="D76" s="84">
        <v>0</v>
      </c>
      <c r="E76" s="84">
        <v>2931.5454545454545</v>
      </c>
      <c r="F76" s="84">
        <v>0</v>
      </c>
      <c r="G76" s="84">
        <v>0</v>
      </c>
      <c r="H76" s="84">
        <v>1412.9454545454546</v>
      </c>
      <c r="I76" s="84"/>
      <c r="J76" s="84">
        <v>0</v>
      </c>
      <c r="K76" s="84">
        <v>1686.3388667779882</v>
      </c>
      <c r="L76" s="84">
        <v>0</v>
      </c>
      <c r="M76" s="84">
        <v>0</v>
      </c>
      <c r="N76" s="84">
        <v>812.78113322201148</v>
      </c>
    </row>
    <row r="77" spans="1:14" x14ac:dyDescent="0.25">
      <c r="A77" s="74" t="s">
        <v>975</v>
      </c>
      <c r="B77" s="74">
        <v>2677</v>
      </c>
      <c r="C77" t="e">
        <f>VLOOKUP(B77,'Waste Lookups'!$B$1:$C$292,2,FALSE)</f>
        <v>#N/A</v>
      </c>
      <c r="D77" s="84">
        <v>0</v>
      </c>
      <c r="E77" s="84">
        <v>646.69090909090903</v>
      </c>
      <c r="F77" s="84">
        <v>0</v>
      </c>
      <c r="G77" s="84">
        <v>0</v>
      </c>
      <c r="H77" s="84">
        <v>0</v>
      </c>
      <c r="I77" s="84"/>
      <c r="J77" s="84">
        <v>0</v>
      </c>
      <c r="K77" s="84">
        <v>687.33999999999992</v>
      </c>
      <c r="L77" s="84">
        <v>0</v>
      </c>
      <c r="M77" s="84">
        <v>0</v>
      </c>
      <c r="N77" s="84">
        <v>0</v>
      </c>
    </row>
    <row r="78" spans="1:14" x14ac:dyDescent="0.25">
      <c r="A78" s="74" t="s">
        <v>762</v>
      </c>
      <c r="B78" s="74">
        <v>2679</v>
      </c>
      <c r="C78" t="str">
        <f>VLOOKUP(B78,'Waste Lookups'!$B$1:$C$292,2,FALSE)</f>
        <v>Riverside house</v>
      </c>
      <c r="D78" s="84">
        <v>0</v>
      </c>
      <c r="E78" s="84">
        <v>2509.1236363636367</v>
      </c>
      <c r="F78" s="84">
        <v>0</v>
      </c>
      <c r="G78" s="84">
        <v>1176.4581818181819</v>
      </c>
      <c r="H78" s="84">
        <v>3436.298181818182</v>
      </c>
      <c r="I78" s="84"/>
      <c r="J78" s="84">
        <v>0</v>
      </c>
      <c r="K78" s="84">
        <v>1224.6892854899907</v>
      </c>
      <c r="L78" s="84">
        <v>0</v>
      </c>
      <c r="M78" s="84">
        <v>574.22269242493167</v>
      </c>
      <c r="N78" s="84">
        <v>1677.2380220850775</v>
      </c>
    </row>
    <row r="79" spans="1:14" x14ac:dyDescent="0.25">
      <c r="A79" s="74" t="s">
        <v>750</v>
      </c>
      <c r="B79" s="74">
        <v>2680</v>
      </c>
      <c r="C79" t="str">
        <f>VLOOKUP(B79,'Waste Lookups'!$B$1:$C$292,2,FALSE)</f>
        <v>RIVERSIDE HOUSE - 2ND FLOOR</v>
      </c>
      <c r="D79" s="84">
        <v>0</v>
      </c>
      <c r="E79" s="84">
        <v>1169.7709090909091</v>
      </c>
      <c r="F79" s="84">
        <v>0</v>
      </c>
      <c r="G79" s="84">
        <v>683.36727272727273</v>
      </c>
      <c r="H79" s="84">
        <v>1354.2545454545455</v>
      </c>
      <c r="I79" s="84"/>
      <c r="J79" s="84">
        <v>0</v>
      </c>
      <c r="K79" s="84">
        <v>1146.8332494362458</v>
      </c>
      <c r="L79" s="84">
        <v>0</v>
      </c>
      <c r="M79" s="84">
        <v>669.96734475920971</v>
      </c>
      <c r="N79" s="84">
        <v>1327.6994058045448</v>
      </c>
    </row>
    <row r="80" spans="1:14" x14ac:dyDescent="0.25">
      <c r="A80" s="74" t="s">
        <v>659</v>
      </c>
      <c r="B80" s="74">
        <v>2698</v>
      </c>
      <c r="C80" t="str">
        <f>VLOOKUP(B80,'Waste Lookups'!$B$1:$C$292,2,FALSE)</f>
        <v>4 Wavell Drive</v>
      </c>
      <c r="D80" s="84">
        <v>0</v>
      </c>
      <c r="E80" s="84">
        <v>384.87272727272727</v>
      </c>
      <c r="F80" s="84">
        <v>0</v>
      </c>
      <c r="G80" s="84">
        <v>898.03636363636372</v>
      </c>
      <c r="H80" s="84">
        <v>2533.5490909090909</v>
      </c>
      <c r="I80" s="84"/>
      <c r="J80" s="84">
        <v>0</v>
      </c>
      <c r="K80" s="84">
        <v>222.02755758313756</v>
      </c>
      <c r="L80" s="84">
        <v>0</v>
      </c>
      <c r="M80" s="84">
        <v>518.06430102732099</v>
      </c>
      <c r="N80" s="84">
        <v>1461.5681413895418</v>
      </c>
    </row>
    <row r="81" spans="1:14" x14ac:dyDescent="0.25">
      <c r="A81" s="74" t="s">
        <v>660</v>
      </c>
      <c r="B81" s="74">
        <v>2701</v>
      </c>
      <c r="C81" t="str">
        <f>VLOOKUP(B81,'Waste Lookups'!$B$1:$C$292,2,FALSE)</f>
        <v>ANNE BURROWS THOMAS HEALTH CENTRE</v>
      </c>
      <c r="D81" s="84">
        <v>0</v>
      </c>
      <c r="E81" s="84">
        <v>0</v>
      </c>
      <c r="F81" s="84">
        <v>0</v>
      </c>
      <c r="G81" s="84">
        <v>0</v>
      </c>
      <c r="H81" s="84">
        <v>589.09090909090912</v>
      </c>
      <c r="I81" s="84"/>
      <c r="J81" s="84">
        <v>0</v>
      </c>
      <c r="K81" s="84">
        <v>0</v>
      </c>
      <c r="L81" s="84">
        <v>0</v>
      </c>
      <c r="M81" s="84">
        <v>0</v>
      </c>
      <c r="N81" s="84">
        <v>0</v>
      </c>
    </row>
    <row r="82" spans="1:14" x14ac:dyDescent="0.25">
      <c r="A82" s="74" t="s">
        <v>661</v>
      </c>
      <c r="B82" s="74">
        <v>2729</v>
      </c>
      <c r="C82" t="str">
        <f>VLOOKUP(B82,'Waste Lookups'!$B$1:$C$292,2,FALSE)</f>
        <v>STAFFORD HOUSE</v>
      </c>
      <c r="D82" s="84">
        <v>0</v>
      </c>
      <c r="E82" s="84">
        <v>481.28727272727275</v>
      </c>
      <c r="F82" s="84">
        <v>0</v>
      </c>
      <c r="G82" s="84">
        <v>311.56363636363636</v>
      </c>
      <c r="H82" s="84">
        <v>1867.4072727272728</v>
      </c>
      <c r="I82" s="84"/>
      <c r="J82" s="84">
        <v>0</v>
      </c>
      <c r="K82" s="84">
        <v>59.275811315648106</v>
      </c>
      <c r="L82" s="84">
        <v>0</v>
      </c>
      <c r="M82" s="84">
        <v>38.372482233440081</v>
      </c>
      <c r="N82" s="84">
        <v>229.99170645091181</v>
      </c>
    </row>
    <row r="83" spans="1:14" x14ac:dyDescent="0.25">
      <c r="A83" s="74" t="s">
        <v>982</v>
      </c>
      <c r="B83" s="74">
        <v>2730</v>
      </c>
      <c r="C83" t="e">
        <f>VLOOKUP(B83,'Waste Lookups'!$B$1:$C$292,2,FALSE)</f>
        <v>#N/A</v>
      </c>
      <c r="D83" s="84">
        <v>0</v>
      </c>
      <c r="E83" s="84">
        <v>1856.2909090909091</v>
      </c>
      <c r="F83" s="84">
        <v>0</v>
      </c>
      <c r="G83" s="84">
        <v>0</v>
      </c>
      <c r="H83" s="84">
        <v>795.27272727272725</v>
      </c>
      <c r="I83" s="84"/>
      <c r="J83" s="84">
        <v>0</v>
      </c>
      <c r="K83" s="84">
        <v>3645.0335818316462</v>
      </c>
      <c r="L83" s="84">
        <v>0</v>
      </c>
      <c r="M83" s="84">
        <v>0</v>
      </c>
      <c r="N83" s="84">
        <v>1561.6064181683535</v>
      </c>
    </row>
    <row r="84" spans="1:14" x14ac:dyDescent="0.25">
      <c r="A84" s="74" t="s">
        <v>984</v>
      </c>
      <c r="B84" s="74">
        <v>2732</v>
      </c>
      <c r="C84" t="e">
        <f>VLOOKUP(B84,'Waste Lookups'!$B$1:$C$292,2,FALSE)</f>
        <v>#N/A</v>
      </c>
      <c r="D84" s="84">
        <v>0</v>
      </c>
      <c r="E84" s="84">
        <v>0</v>
      </c>
      <c r="F84" s="84">
        <v>0</v>
      </c>
      <c r="G84" s="84">
        <v>0</v>
      </c>
      <c r="H84" s="84">
        <v>862.69090909090914</v>
      </c>
      <c r="I84" s="84"/>
      <c r="J84" s="84">
        <v>0</v>
      </c>
      <c r="K84" s="84">
        <v>0</v>
      </c>
      <c r="L84" s="84">
        <v>0</v>
      </c>
      <c r="M84" s="84">
        <v>0</v>
      </c>
      <c r="N84" s="84">
        <v>340.52</v>
      </c>
    </row>
    <row r="85" spans="1:14" x14ac:dyDescent="0.25">
      <c r="A85" s="74" t="s">
        <v>986</v>
      </c>
      <c r="B85" s="74">
        <v>2741</v>
      </c>
      <c r="C85" t="e">
        <f>VLOOKUP(B85,'Waste Lookups'!$B$1:$C$292,2,FALSE)</f>
        <v>#N/A</v>
      </c>
      <c r="D85" s="84">
        <v>0</v>
      </c>
      <c r="E85" s="84">
        <v>929.76</v>
      </c>
      <c r="F85" s="84">
        <v>0</v>
      </c>
      <c r="G85" s="84">
        <v>0</v>
      </c>
      <c r="H85" s="84">
        <v>0</v>
      </c>
      <c r="I85" s="84"/>
      <c r="J85" s="84">
        <v>0</v>
      </c>
      <c r="K85" s="84">
        <v>0</v>
      </c>
      <c r="L85" s="84">
        <v>0</v>
      </c>
      <c r="M85" s="84">
        <v>0</v>
      </c>
      <c r="N85" s="84">
        <v>0</v>
      </c>
    </row>
    <row r="86" spans="1:14" x14ac:dyDescent="0.25">
      <c r="A86" s="74" t="s">
        <v>988</v>
      </c>
      <c r="B86" s="74">
        <v>2745</v>
      </c>
      <c r="C86" t="e">
        <f>VLOOKUP(B86,'Waste Lookups'!$B$1:$C$292,2,FALSE)</f>
        <v>#N/A</v>
      </c>
      <c r="D86" s="84">
        <v>0</v>
      </c>
      <c r="E86" s="84">
        <v>870.43636363636358</v>
      </c>
      <c r="F86" s="84">
        <v>0</v>
      </c>
      <c r="G86" s="84">
        <v>0</v>
      </c>
      <c r="H86" s="84">
        <v>823.40727272727258</v>
      </c>
      <c r="I86" s="84"/>
      <c r="J86" s="84">
        <v>0</v>
      </c>
      <c r="K86" s="84">
        <v>0</v>
      </c>
      <c r="L86" s="84">
        <v>0</v>
      </c>
      <c r="M86" s="84">
        <v>0</v>
      </c>
      <c r="N86" s="84">
        <v>0</v>
      </c>
    </row>
    <row r="87" spans="1:14" x14ac:dyDescent="0.25">
      <c r="A87" s="74" t="s">
        <v>990</v>
      </c>
      <c r="B87" s="74">
        <v>2757</v>
      </c>
      <c r="C87" t="e">
        <f>VLOOKUP(B87,'Waste Lookups'!$B$1:$C$292,2,FALSE)</f>
        <v>#N/A</v>
      </c>
      <c r="D87" s="84">
        <v>0</v>
      </c>
      <c r="E87" s="84">
        <v>402.19636363636363</v>
      </c>
      <c r="F87" s="84">
        <v>0</v>
      </c>
      <c r="G87" s="84">
        <v>0</v>
      </c>
      <c r="H87" s="84">
        <v>0</v>
      </c>
      <c r="I87" s="84"/>
      <c r="J87" s="84">
        <v>0</v>
      </c>
      <c r="K87" s="84">
        <v>1300.23</v>
      </c>
      <c r="L87" s="84">
        <v>0</v>
      </c>
      <c r="M87" s="84">
        <v>0</v>
      </c>
      <c r="N87" s="84">
        <v>0</v>
      </c>
    </row>
    <row r="88" spans="1:14" x14ac:dyDescent="0.25">
      <c r="A88" s="74" t="s">
        <v>992</v>
      </c>
      <c r="B88" s="74">
        <v>2760</v>
      </c>
      <c r="C88" t="e">
        <f>VLOOKUP(B88,'Waste Lookups'!$B$1:$C$292,2,FALSE)</f>
        <v>#N/A</v>
      </c>
      <c r="D88" s="84">
        <v>110.35636363636362</v>
      </c>
      <c r="E88" s="84">
        <v>58.909090909090907</v>
      </c>
      <c r="F88" s="84">
        <v>0</v>
      </c>
      <c r="G88" s="84">
        <v>0</v>
      </c>
      <c r="H88" s="84">
        <v>597.92727272727279</v>
      </c>
      <c r="I88" s="84"/>
      <c r="J88" s="84">
        <v>87.174010749935988</v>
      </c>
      <c r="K88" s="84">
        <v>46.534169439467618</v>
      </c>
      <c r="L88" s="84">
        <v>0</v>
      </c>
      <c r="M88" s="84">
        <v>0</v>
      </c>
      <c r="N88" s="84">
        <v>472.32181981059637</v>
      </c>
    </row>
    <row r="89" spans="1:14" x14ac:dyDescent="0.25">
      <c r="A89" s="74" t="s">
        <v>994</v>
      </c>
      <c r="B89" s="74">
        <v>2762</v>
      </c>
      <c r="C89" t="e">
        <f>VLOOKUP(B89,'Waste Lookups'!$B$1:$C$292,2,FALSE)</f>
        <v>#N/A</v>
      </c>
      <c r="D89" s="84">
        <v>3917.0072727272727</v>
      </c>
      <c r="E89" s="84">
        <v>2842.1236363636367</v>
      </c>
      <c r="F89" s="84">
        <v>0</v>
      </c>
      <c r="G89" s="84">
        <v>2092.2763636363638</v>
      </c>
      <c r="H89" s="84">
        <v>919.0472727272728</v>
      </c>
      <c r="I89" s="84"/>
      <c r="J89" s="84">
        <v>3989.6411066796932</v>
      </c>
      <c r="K89" s="84">
        <v>2894.825692270761</v>
      </c>
      <c r="L89" s="84">
        <v>0</v>
      </c>
      <c r="M89" s="84">
        <v>2131.0738545261693</v>
      </c>
      <c r="N89" s="84">
        <v>936.08934652337757</v>
      </c>
    </row>
    <row r="90" spans="1:14" x14ac:dyDescent="0.25">
      <c r="A90" s="74" t="s">
        <v>996</v>
      </c>
      <c r="B90" s="74">
        <v>2763</v>
      </c>
      <c r="C90" t="e">
        <f>VLOOKUP(B90,'Waste Lookups'!$B$1:$C$292,2,FALSE)</f>
        <v>#N/A</v>
      </c>
      <c r="D90" s="84">
        <v>58.909090909090907</v>
      </c>
      <c r="E90" s="84">
        <v>0</v>
      </c>
      <c r="F90" s="84">
        <v>0</v>
      </c>
      <c r="G90" s="84">
        <v>0</v>
      </c>
      <c r="H90" s="84">
        <v>510.54545454545456</v>
      </c>
      <c r="I90" s="84"/>
      <c r="J90" s="84">
        <v>67.034482758620683</v>
      </c>
      <c r="K90" s="84">
        <v>0</v>
      </c>
      <c r="L90" s="84">
        <v>0</v>
      </c>
      <c r="M90" s="84">
        <v>0</v>
      </c>
      <c r="N90" s="84">
        <v>580.9655172413793</v>
      </c>
    </row>
    <row r="91" spans="1:14" x14ac:dyDescent="0.25">
      <c r="A91" s="74" t="s">
        <v>998</v>
      </c>
      <c r="B91" s="74">
        <v>2764</v>
      </c>
      <c r="C91" t="e">
        <f>VLOOKUP(B91,'Waste Lookups'!$B$1:$C$292,2,FALSE)</f>
        <v>#N/A</v>
      </c>
      <c r="D91" s="84">
        <v>1115.1600000000001</v>
      </c>
      <c r="E91" s="84">
        <v>393.77454545454543</v>
      </c>
      <c r="F91" s="84">
        <v>0</v>
      </c>
      <c r="G91" s="84">
        <v>221.17090909090911</v>
      </c>
      <c r="H91" s="84">
        <v>706.90909090909088</v>
      </c>
      <c r="I91" s="84"/>
      <c r="J91" s="84">
        <v>2083.2501308904043</v>
      </c>
      <c r="K91" s="84">
        <v>735.61719695782767</v>
      </c>
      <c r="L91" s="84">
        <v>0</v>
      </c>
      <c r="M91" s="84">
        <v>413.1732893152427</v>
      </c>
      <c r="N91" s="84">
        <v>1320.5893828365258</v>
      </c>
    </row>
    <row r="92" spans="1:14" x14ac:dyDescent="0.25">
      <c r="A92" s="74" t="s">
        <v>1000</v>
      </c>
      <c r="B92" s="74">
        <v>2766</v>
      </c>
      <c r="C92" t="e">
        <f>VLOOKUP(B92,'Waste Lookups'!$B$1:$C$292,2,FALSE)</f>
        <v>#N/A</v>
      </c>
      <c r="D92" s="84">
        <v>2304.2836363636366</v>
      </c>
      <c r="E92" s="84">
        <v>439.79999999999995</v>
      </c>
      <c r="F92" s="84">
        <v>0</v>
      </c>
      <c r="G92" s="84">
        <v>477.10909090909092</v>
      </c>
      <c r="H92" s="84">
        <v>297.4909090909091</v>
      </c>
      <c r="I92" s="84"/>
      <c r="J92" s="84">
        <v>2519.7599868545885</v>
      </c>
      <c r="K92" s="84">
        <v>480.92623005710817</v>
      </c>
      <c r="L92" s="84">
        <v>0</v>
      </c>
      <c r="M92" s="84">
        <v>521.72413919254939</v>
      </c>
      <c r="N92" s="84">
        <v>325.30964389575445</v>
      </c>
    </row>
    <row r="93" spans="1:14" x14ac:dyDescent="0.25">
      <c r="A93" s="74" t="s">
        <v>1002</v>
      </c>
      <c r="B93" s="74">
        <v>2767</v>
      </c>
      <c r="C93" t="e">
        <f>VLOOKUP(B93,'Waste Lookups'!$B$1:$C$292,2,FALSE)</f>
        <v>#N/A</v>
      </c>
      <c r="D93" s="84">
        <v>2427.8618181818183</v>
      </c>
      <c r="E93" s="84">
        <v>3030.5236363636363</v>
      </c>
      <c r="F93" s="84">
        <v>0</v>
      </c>
      <c r="G93" s="84">
        <v>1104.2836363636363</v>
      </c>
      <c r="H93" s="84">
        <v>604.4727272727273</v>
      </c>
      <c r="I93" s="84"/>
      <c r="J93" s="84">
        <v>2463.7110044323495</v>
      </c>
      <c r="K93" s="84">
        <v>3075.2715727836739</v>
      </c>
      <c r="L93" s="84">
        <v>0</v>
      </c>
      <c r="M93" s="84">
        <v>1120.5892059215694</v>
      </c>
      <c r="N93" s="84">
        <v>613.39821686240862</v>
      </c>
    </row>
    <row r="94" spans="1:14" x14ac:dyDescent="0.25">
      <c r="A94" s="74" t="s">
        <v>1004</v>
      </c>
      <c r="B94" s="74">
        <v>2768</v>
      </c>
      <c r="C94" t="e">
        <f>VLOOKUP(B94,'Waste Lookups'!$B$1:$C$292,2,FALSE)</f>
        <v>#N/A</v>
      </c>
      <c r="D94" s="84">
        <v>1825.8545454545456</v>
      </c>
      <c r="E94" s="84">
        <v>2152.4072727272728</v>
      </c>
      <c r="F94" s="84">
        <v>0</v>
      </c>
      <c r="G94" s="84">
        <v>897.24</v>
      </c>
      <c r="H94" s="84">
        <v>634.25454545454545</v>
      </c>
      <c r="I94" s="84"/>
      <c r="J94" s="84">
        <v>2238.4243364662884</v>
      </c>
      <c r="K94" s="84">
        <v>2638.7648639669264</v>
      </c>
      <c r="L94" s="84">
        <v>0</v>
      </c>
      <c r="M94" s="84">
        <v>1099.9802019558033</v>
      </c>
      <c r="N94" s="84">
        <v>777.57059761098151</v>
      </c>
    </row>
    <row r="95" spans="1:14" x14ac:dyDescent="0.25">
      <c r="A95" s="74" t="s">
        <v>1006</v>
      </c>
      <c r="B95" s="74">
        <v>2769</v>
      </c>
      <c r="C95" t="e">
        <f>VLOOKUP(B95,'Waste Lookups'!$B$1:$C$292,2,FALSE)</f>
        <v>#N/A</v>
      </c>
      <c r="D95" s="84">
        <v>2414.4654545454546</v>
      </c>
      <c r="E95" s="84">
        <v>716.83636363636367</v>
      </c>
      <c r="F95" s="84">
        <v>0</v>
      </c>
      <c r="G95" s="84">
        <v>197.19272727272727</v>
      </c>
      <c r="H95" s="84">
        <v>898.03636363636372</v>
      </c>
      <c r="I95" s="84"/>
      <c r="J95" s="84">
        <v>2694.6871233145425</v>
      </c>
      <c r="K95" s="84">
        <v>800.03203813830544</v>
      </c>
      <c r="L95" s="84">
        <v>0</v>
      </c>
      <c r="M95" s="84">
        <v>220.07881785706905</v>
      </c>
      <c r="N95" s="84">
        <v>1002.2620206900823</v>
      </c>
    </row>
    <row r="96" spans="1:14" x14ac:dyDescent="0.25">
      <c r="A96" s="74" t="s">
        <v>1008</v>
      </c>
      <c r="B96" s="74">
        <v>2772</v>
      </c>
      <c r="C96" t="e">
        <f>VLOOKUP(B96,'Waste Lookups'!$B$1:$C$292,2,FALSE)</f>
        <v>#N/A</v>
      </c>
      <c r="D96" s="84">
        <v>1139.5090909090909</v>
      </c>
      <c r="E96" s="84">
        <v>416.79272727272729</v>
      </c>
      <c r="F96" s="84">
        <v>0</v>
      </c>
      <c r="G96" s="84">
        <v>240.75272727272727</v>
      </c>
      <c r="H96" s="84">
        <v>597.92727272727279</v>
      </c>
      <c r="I96" s="84"/>
      <c r="J96" s="84">
        <v>2004.2523178008564</v>
      </c>
      <c r="K96" s="84">
        <v>733.08567377243332</v>
      </c>
      <c r="L96" s="84">
        <v>0</v>
      </c>
      <c r="M96" s="84">
        <v>423.45358672679242</v>
      </c>
      <c r="N96" s="84">
        <v>1051.6784216999181</v>
      </c>
    </row>
    <row r="97" spans="1:14" x14ac:dyDescent="0.25">
      <c r="A97" s="74" t="s">
        <v>1010</v>
      </c>
      <c r="B97" s="74">
        <v>2775</v>
      </c>
      <c r="C97" t="e">
        <f>VLOOKUP(B97,'Waste Lookups'!$B$1:$C$292,2,FALSE)</f>
        <v>#N/A</v>
      </c>
      <c r="D97" s="84">
        <v>1437.5781818181817</v>
      </c>
      <c r="E97" s="84">
        <v>1515.8072727272727</v>
      </c>
      <c r="F97" s="84">
        <v>0</v>
      </c>
      <c r="G97" s="84">
        <v>1234.2981818181818</v>
      </c>
      <c r="H97" s="84">
        <v>656.83636363636367</v>
      </c>
      <c r="I97" s="84"/>
      <c r="J97" s="84">
        <v>1493.8110109642164</v>
      </c>
      <c r="K97" s="84">
        <v>1575.1001393439487</v>
      </c>
      <c r="L97" s="84">
        <v>0</v>
      </c>
      <c r="M97" s="84">
        <v>1282.5794368144552</v>
      </c>
      <c r="N97" s="84">
        <v>682.52941287738065</v>
      </c>
    </row>
    <row r="98" spans="1:14" x14ac:dyDescent="0.25">
      <c r="A98" s="74" t="s">
        <v>1012</v>
      </c>
      <c r="B98" s="74">
        <v>2776</v>
      </c>
      <c r="C98" t="e">
        <f>VLOOKUP(B98,'Waste Lookups'!$B$1:$C$292,2,FALSE)</f>
        <v>#N/A</v>
      </c>
      <c r="D98" s="84">
        <v>2469.9054545454546</v>
      </c>
      <c r="E98" s="84">
        <v>58.909090909090907</v>
      </c>
      <c r="F98" s="84">
        <v>0</v>
      </c>
      <c r="G98" s="84">
        <v>0</v>
      </c>
      <c r="H98" s="84">
        <v>855.16363636363644</v>
      </c>
      <c r="I98" s="84"/>
      <c r="J98" s="84">
        <v>3730.5301295301715</v>
      </c>
      <c r="K98" s="84">
        <v>88.975931501814969</v>
      </c>
      <c r="L98" s="84">
        <v>0</v>
      </c>
      <c r="M98" s="84">
        <v>0</v>
      </c>
      <c r="N98" s="84">
        <v>1291.633938968014</v>
      </c>
    </row>
    <row r="99" spans="1:14" x14ac:dyDescent="0.25">
      <c r="A99" s="74" t="s">
        <v>1014</v>
      </c>
      <c r="B99" s="74">
        <v>2777</v>
      </c>
      <c r="C99" t="e">
        <f>VLOOKUP(B99,'Waste Lookups'!$B$1:$C$292,2,FALSE)</f>
        <v>#N/A</v>
      </c>
      <c r="D99" s="84">
        <v>2294.869090909091</v>
      </c>
      <c r="E99" s="84">
        <v>58.909090909090907</v>
      </c>
      <c r="F99" s="84">
        <v>0</v>
      </c>
      <c r="G99" s="84">
        <v>0</v>
      </c>
      <c r="H99" s="84">
        <v>313.20000000000005</v>
      </c>
      <c r="I99" s="84"/>
      <c r="J99" s="84">
        <v>3877.5774591059135</v>
      </c>
      <c r="K99" s="84">
        <v>99.537077714103376</v>
      </c>
      <c r="L99" s="84">
        <v>0</v>
      </c>
      <c r="M99" s="84">
        <v>0</v>
      </c>
      <c r="N99" s="84">
        <v>529.2054631799831</v>
      </c>
    </row>
    <row r="100" spans="1:14" x14ac:dyDescent="0.25">
      <c r="A100" s="74" t="s">
        <v>1016</v>
      </c>
      <c r="B100" s="74">
        <v>2778</v>
      </c>
      <c r="C100" t="e">
        <f>VLOOKUP(B100,'Waste Lookups'!$B$1:$C$292,2,FALSE)</f>
        <v>#N/A</v>
      </c>
      <c r="D100" s="84">
        <v>0</v>
      </c>
      <c r="E100" s="84">
        <v>330.15272727272725</v>
      </c>
      <c r="F100" s="84">
        <v>0</v>
      </c>
      <c r="G100" s="84">
        <v>0</v>
      </c>
      <c r="H100" s="84">
        <v>0</v>
      </c>
      <c r="I100" s="84"/>
      <c r="J100" s="84">
        <v>0</v>
      </c>
      <c r="K100" s="84">
        <v>4266.83</v>
      </c>
      <c r="L100" s="84">
        <v>0</v>
      </c>
      <c r="M100" s="84">
        <v>0</v>
      </c>
      <c r="N100" s="84">
        <v>0</v>
      </c>
    </row>
    <row r="101" spans="1:14" x14ac:dyDescent="0.25">
      <c r="A101" s="74" t="s">
        <v>1018</v>
      </c>
      <c r="B101" s="74">
        <v>2779</v>
      </c>
      <c r="C101" t="e">
        <f>VLOOKUP(B101,'Waste Lookups'!$B$1:$C$292,2,FALSE)</f>
        <v>#N/A</v>
      </c>
      <c r="D101" s="84">
        <v>383.97818181818184</v>
      </c>
      <c r="E101" s="84">
        <v>1234.1018181818181</v>
      </c>
      <c r="F101" s="84">
        <v>0</v>
      </c>
      <c r="G101" s="84">
        <v>937.33090909090902</v>
      </c>
      <c r="H101" s="84">
        <v>900.32727272727266</v>
      </c>
      <c r="I101" s="84"/>
      <c r="J101" s="84">
        <v>426.00695766093406</v>
      </c>
      <c r="K101" s="84">
        <v>1369.1818595474408</v>
      </c>
      <c r="L101" s="84">
        <v>0</v>
      </c>
      <c r="M101" s="84">
        <v>1039.9275474783444</v>
      </c>
      <c r="N101" s="84">
        <v>998.8736353132814</v>
      </c>
    </row>
    <row r="102" spans="1:14" x14ac:dyDescent="0.25">
      <c r="A102" s="74" t="s">
        <v>1020</v>
      </c>
      <c r="B102" s="74">
        <v>2780</v>
      </c>
      <c r="C102" t="e">
        <f>VLOOKUP(B102,'Waste Lookups'!$B$1:$C$292,2,FALSE)</f>
        <v>#N/A</v>
      </c>
      <c r="D102" s="84">
        <v>0</v>
      </c>
      <c r="E102" s="84">
        <v>365.55272727272722</v>
      </c>
      <c r="F102" s="84">
        <v>0</v>
      </c>
      <c r="G102" s="84">
        <v>306.89454545454544</v>
      </c>
      <c r="H102" s="84">
        <v>710.18181818181813</v>
      </c>
      <c r="I102" s="84"/>
      <c r="J102" s="84">
        <v>0</v>
      </c>
      <c r="K102" s="84">
        <v>353.57083177503728</v>
      </c>
      <c r="L102" s="84">
        <v>0</v>
      </c>
      <c r="M102" s="84">
        <v>296.83531706393353</v>
      </c>
      <c r="N102" s="84">
        <v>686.90385116102914</v>
      </c>
    </row>
    <row r="103" spans="1:14" x14ac:dyDescent="0.25">
      <c r="A103" s="74" t="s">
        <v>1022</v>
      </c>
      <c r="B103" s="74">
        <v>2781</v>
      </c>
      <c r="C103" t="e">
        <f>VLOOKUP(B103,'Waste Lookups'!$B$1:$C$292,2,FALSE)</f>
        <v>#N/A</v>
      </c>
      <c r="D103" s="84">
        <v>5031.1636363636362</v>
      </c>
      <c r="E103" s="84">
        <v>1675.5163636363636</v>
      </c>
      <c r="F103" s="84">
        <v>0</v>
      </c>
      <c r="G103" s="84">
        <v>853.09090909090912</v>
      </c>
      <c r="H103" s="84">
        <v>678.10909090909092</v>
      </c>
      <c r="I103" s="84"/>
      <c r="J103" s="84">
        <v>7184.8176427121361</v>
      </c>
      <c r="K103" s="84">
        <v>2392.7425939992504</v>
      </c>
      <c r="L103" s="84">
        <v>0</v>
      </c>
      <c r="M103" s="84">
        <v>1218.2673944796918</v>
      </c>
      <c r="N103" s="84">
        <v>968.38236880892134</v>
      </c>
    </row>
    <row r="104" spans="1:14" x14ac:dyDescent="0.25">
      <c r="A104" s="74" t="s">
        <v>1024</v>
      </c>
      <c r="B104" s="74">
        <v>2782</v>
      </c>
      <c r="C104" t="e">
        <f>VLOOKUP(B104,'Waste Lookups'!$B$1:$C$292,2,FALSE)</f>
        <v>#N/A</v>
      </c>
      <c r="D104" s="84">
        <v>0</v>
      </c>
      <c r="E104" s="84">
        <v>58.909090909090907</v>
      </c>
      <c r="F104" s="84">
        <v>0</v>
      </c>
      <c r="G104" s="84">
        <v>0</v>
      </c>
      <c r="H104" s="84">
        <v>653.89090909090908</v>
      </c>
      <c r="I104" s="84"/>
      <c r="J104" s="84">
        <v>0</v>
      </c>
      <c r="K104" s="84">
        <v>58.193388429752069</v>
      </c>
      <c r="L104" s="84">
        <v>0</v>
      </c>
      <c r="M104" s="84">
        <v>0</v>
      </c>
      <c r="N104" s="84">
        <v>645.94661157024791</v>
      </c>
    </row>
    <row r="105" spans="1:14" x14ac:dyDescent="0.25">
      <c r="A105" s="74" t="s">
        <v>1026</v>
      </c>
      <c r="B105" s="74">
        <v>2783</v>
      </c>
      <c r="C105" t="e">
        <f>VLOOKUP(B105,'Waste Lookups'!$B$1:$C$292,2,FALSE)</f>
        <v>#N/A</v>
      </c>
      <c r="D105" s="84">
        <v>2589.4581818181819</v>
      </c>
      <c r="E105" s="84">
        <v>797.68363636363642</v>
      </c>
      <c r="F105" s="84">
        <v>0</v>
      </c>
      <c r="G105" s="84">
        <v>542.56363636363642</v>
      </c>
      <c r="H105" s="84">
        <v>899.68363636363642</v>
      </c>
      <c r="I105" s="84"/>
      <c r="J105" s="84">
        <v>2438.6398423516021</v>
      </c>
      <c r="K105" s="84">
        <v>751.22398611682127</v>
      </c>
      <c r="L105" s="84">
        <v>0</v>
      </c>
      <c r="M105" s="84">
        <v>510.96299215711093</v>
      </c>
      <c r="N105" s="84">
        <v>847.2831793744665</v>
      </c>
    </row>
    <row r="106" spans="1:14" x14ac:dyDescent="0.25">
      <c r="A106" s="74" t="s">
        <v>1028</v>
      </c>
      <c r="B106" s="74">
        <v>2785</v>
      </c>
      <c r="C106" t="e">
        <f>VLOOKUP(B106,'Waste Lookups'!$B$1:$C$292,2,FALSE)</f>
        <v>#N/A</v>
      </c>
      <c r="D106" s="84">
        <v>0</v>
      </c>
      <c r="E106" s="84">
        <v>1439.7272727272727</v>
      </c>
      <c r="F106" s="84">
        <v>0</v>
      </c>
      <c r="G106" s="84">
        <v>451.15636363636361</v>
      </c>
      <c r="H106" s="84">
        <v>878.92363636363621</v>
      </c>
      <c r="I106" s="84"/>
      <c r="J106" s="84">
        <v>0</v>
      </c>
      <c r="K106" s="84">
        <v>1354.0043787096445</v>
      </c>
      <c r="L106" s="84">
        <v>0</v>
      </c>
      <c r="M106" s="84">
        <v>424.2940336117905</v>
      </c>
      <c r="N106" s="84">
        <v>826.59158767856491</v>
      </c>
    </row>
    <row r="107" spans="1:14" x14ac:dyDescent="0.25">
      <c r="A107" s="74" t="s">
        <v>760</v>
      </c>
      <c r="B107" s="74">
        <v>2802</v>
      </c>
      <c r="C107" t="str">
        <f>VLOOKUP(B107,'Waste Lookups'!$B$1:$C$292,2,FALSE)</f>
        <v>Headley Court</v>
      </c>
      <c r="D107" s="84">
        <v>0</v>
      </c>
      <c r="E107" s="84">
        <v>0</v>
      </c>
      <c r="F107" s="84">
        <v>0</v>
      </c>
      <c r="G107" s="84">
        <v>0</v>
      </c>
      <c r="H107" s="84">
        <v>1413.8181818181818</v>
      </c>
      <c r="I107" s="84"/>
      <c r="J107" s="84">
        <v>0</v>
      </c>
      <c r="K107" s="84">
        <v>0</v>
      </c>
      <c r="L107" s="84">
        <v>0</v>
      </c>
      <c r="M107" s="84">
        <v>0</v>
      </c>
      <c r="N107" s="84">
        <v>1150.58</v>
      </c>
    </row>
    <row r="108" spans="1:14" x14ac:dyDescent="0.25">
      <c r="A108" s="74" t="s">
        <v>1031</v>
      </c>
      <c r="B108" s="74">
        <v>2806</v>
      </c>
      <c r="C108" t="e">
        <f>VLOOKUP(B108,'Waste Lookups'!$B$1:$C$292,2,FALSE)</f>
        <v>#N/A</v>
      </c>
      <c r="D108" s="84">
        <v>0</v>
      </c>
      <c r="E108" s="84">
        <v>1631.1054545454547</v>
      </c>
      <c r="F108" s="84">
        <v>0</v>
      </c>
      <c r="G108" s="84">
        <v>711.40363636363634</v>
      </c>
      <c r="H108" s="84">
        <v>0</v>
      </c>
      <c r="I108" s="84"/>
      <c r="J108" s="84">
        <v>0</v>
      </c>
      <c r="K108" s="84">
        <v>-413.67598286219908</v>
      </c>
      <c r="L108" s="84">
        <v>0</v>
      </c>
      <c r="M108" s="84">
        <v>-180.42401713780097</v>
      </c>
      <c r="N108" s="84">
        <v>0</v>
      </c>
    </row>
    <row r="109" spans="1:14" x14ac:dyDescent="0.25">
      <c r="A109" s="74" t="s">
        <v>1033</v>
      </c>
      <c r="B109" s="74">
        <v>2808</v>
      </c>
      <c r="C109" t="e">
        <f>VLOOKUP(B109,'Waste Lookups'!$B$1:$C$292,2,FALSE)</f>
        <v>#N/A</v>
      </c>
      <c r="D109" s="84">
        <v>0</v>
      </c>
      <c r="E109" s="84">
        <v>1658.5745454545454</v>
      </c>
      <c r="F109" s="84">
        <v>0</v>
      </c>
      <c r="G109" s="84">
        <v>762.28363636363633</v>
      </c>
      <c r="H109" s="84">
        <v>0</v>
      </c>
      <c r="I109" s="84"/>
      <c r="J109" s="84">
        <v>0</v>
      </c>
      <c r="K109" s="84">
        <v>507.1863190814376</v>
      </c>
      <c r="L109" s="84">
        <v>0</v>
      </c>
      <c r="M109" s="84">
        <v>233.10368091856228</v>
      </c>
      <c r="N109" s="84">
        <v>0</v>
      </c>
    </row>
    <row r="110" spans="1:14" x14ac:dyDescent="0.25">
      <c r="A110" s="74" t="s">
        <v>1035</v>
      </c>
      <c r="B110" s="74">
        <v>2811</v>
      </c>
      <c r="C110" t="e">
        <f>VLOOKUP(B110,'Waste Lookups'!$B$1:$C$292,2,FALSE)</f>
        <v>#N/A</v>
      </c>
      <c r="D110" s="84">
        <v>0</v>
      </c>
      <c r="E110" s="84">
        <v>1418.2036363636364</v>
      </c>
      <c r="F110" s="84">
        <v>0</v>
      </c>
      <c r="G110" s="84">
        <v>0</v>
      </c>
      <c r="H110" s="84">
        <v>0</v>
      </c>
      <c r="I110" s="84"/>
      <c r="J110" s="84">
        <v>0</v>
      </c>
      <c r="K110" s="84">
        <v>1268.77</v>
      </c>
      <c r="L110" s="84">
        <v>0</v>
      </c>
      <c r="M110" s="84">
        <v>0</v>
      </c>
      <c r="N110" s="84">
        <v>0</v>
      </c>
    </row>
    <row r="111" spans="1:14" x14ac:dyDescent="0.25">
      <c r="A111" s="74" t="s">
        <v>1037</v>
      </c>
      <c r="B111" s="74">
        <v>2812</v>
      </c>
      <c r="C111" t="e">
        <f>VLOOKUP(B111,'Waste Lookups'!$B$1:$C$292,2,FALSE)</f>
        <v>#N/A</v>
      </c>
      <c r="D111" s="84">
        <v>0</v>
      </c>
      <c r="E111" s="84">
        <v>384.5781818181818</v>
      </c>
      <c r="F111" s="84">
        <v>0</v>
      </c>
      <c r="G111" s="84">
        <v>242.86909090909091</v>
      </c>
      <c r="H111" s="84">
        <v>0</v>
      </c>
      <c r="I111" s="84"/>
      <c r="J111" s="84">
        <v>0</v>
      </c>
      <c r="K111" s="84">
        <v>0</v>
      </c>
      <c r="L111" s="84">
        <v>0</v>
      </c>
      <c r="M111" s="84">
        <v>0</v>
      </c>
      <c r="N111" s="84">
        <v>0</v>
      </c>
    </row>
    <row r="112" spans="1:14" x14ac:dyDescent="0.25">
      <c r="A112" s="74" t="s">
        <v>1039</v>
      </c>
      <c r="B112" s="74">
        <v>2813</v>
      </c>
      <c r="C112" t="e">
        <f>VLOOKUP(B112,'Waste Lookups'!$B$1:$C$292,2,FALSE)</f>
        <v>#N/A</v>
      </c>
      <c r="D112" s="84">
        <v>0</v>
      </c>
      <c r="E112" s="84">
        <v>943.26545454545453</v>
      </c>
      <c r="F112" s="84">
        <v>0</v>
      </c>
      <c r="G112" s="84">
        <v>0</v>
      </c>
      <c r="H112" s="84">
        <v>0</v>
      </c>
      <c r="I112" s="84"/>
      <c r="J112" s="84">
        <v>0</v>
      </c>
      <c r="K112" s="84">
        <v>1771.9</v>
      </c>
      <c r="L112" s="84">
        <v>0</v>
      </c>
      <c r="M112" s="84">
        <v>0</v>
      </c>
      <c r="N112" s="84">
        <v>0</v>
      </c>
    </row>
    <row r="113" spans="1:14" x14ac:dyDescent="0.25">
      <c r="A113" s="74" t="s">
        <v>1041</v>
      </c>
      <c r="B113" s="74">
        <v>2814</v>
      </c>
      <c r="C113" t="e">
        <f>VLOOKUP(B113,'Waste Lookups'!$B$1:$C$292,2,FALSE)</f>
        <v>#N/A</v>
      </c>
      <c r="D113" s="84">
        <v>0</v>
      </c>
      <c r="E113" s="84">
        <v>1105.6145454545456</v>
      </c>
      <c r="F113" s="84">
        <v>0</v>
      </c>
      <c r="G113" s="84">
        <v>0</v>
      </c>
      <c r="H113" s="84">
        <v>0</v>
      </c>
      <c r="I113" s="84"/>
      <c r="J113" s="84">
        <v>0</v>
      </c>
      <c r="K113" s="84">
        <v>1242.69</v>
      </c>
      <c r="L113" s="84">
        <v>0</v>
      </c>
      <c r="M113" s="84">
        <v>0</v>
      </c>
      <c r="N113" s="84">
        <v>0</v>
      </c>
    </row>
    <row r="114" spans="1:14" x14ac:dyDescent="0.25">
      <c r="A114" s="74" t="s">
        <v>1043</v>
      </c>
      <c r="B114" s="74">
        <v>2815</v>
      </c>
      <c r="C114" t="e">
        <f>VLOOKUP(B114,'Waste Lookups'!$B$1:$C$292,2,FALSE)</f>
        <v>#N/A</v>
      </c>
      <c r="D114" s="84">
        <v>0</v>
      </c>
      <c r="E114" s="84">
        <v>1011.1309090909092</v>
      </c>
      <c r="F114" s="84">
        <v>0</v>
      </c>
      <c r="G114" s="84">
        <v>0</v>
      </c>
      <c r="H114" s="84">
        <v>0</v>
      </c>
      <c r="I114" s="84"/>
      <c r="J114" s="84">
        <v>0</v>
      </c>
      <c r="K114" s="84">
        <v>1192.71</v>
      </c>
      <c r="L114" s="84">
        <v>0</v>
      </c>
      <c r="M114" s="84">
        <v>0</v>
      </c>
      <c r="N114" s="84">
        <v>0</v>
      </c>
    </row>
    <row r="115" spans="1:14" x14ac:dyDescent="0.25">
      <c r="A115" s="74" t="s">
        <v>1045</v>
      </c>
      <c r="B115" s="74">
        <v>2816</v>
      </c>
      <c r="C115" t="e">
        <f>VLOOKUP(B115,'Waste Lookups'!$B$1:$C$292,2,FALSE)</f>
        <v>#N/A</v>
      </c>
      <c r="D115" s="84">
        <v>0</v>
      </c>
      <c r="E115" s="84">
        <v>0</v>
      </c>
      <c r="F115" s="84">
        <v>0</v>
      </c>
      <c r="G115" s="84">
        <v>0</v>
      </c>
      <c r="H115" s="84">
        <v>396.92727272727274</v>
      </c>
      <c r="I115" s="84"/>
      <c r="J115" s="84">
        <v>0</v>
      </c>
      <c r="K115" s="84">
        <v>0</v>
      </c>
      <c r="L115" s="84">
        <v>0</v>
      </c>
      <c r="M115" s="84">
        <v>0</v>
      </c>
      <c r="N115" s="84">
        <v>0</v>
      </c>
    </row>
    <row r="116" spans="1:14" x14ac:dyDescent="0.25">
      <c r="A116" s="74" t="s">
        <v>1047</v>
      </c>
      <c r="B116" s="74">
        <v>2817</v>
      </c>
      <c r="C116" t="e">
        <f>VLOOKUP(B116,'Waste Lookups'!$B$1:$C$292,2,FALSE)</f>
        <v>#N/A</v>
      </c>
      <c r="D116" s="84">
        <v>0</v>
      </c>
      <c r="E116" s="84">
        <v>1362.4145454545455</v>
      </c>
      <c r="F116" s="84">
        <v>0</v>
      </c>
      <c r="G116" s="84">
        <v>487.27636363636367</v>
      </c>
      <c r="H116" s="84">
        <v>0</v>
      </c>
      <c r="I116" s="84"/>
      <c r="J116" s="84">
        <v>0</v>
      </c>
      <c r="K116" s="84">
        <v>468.96988941641359</v>
      </c>
      <c r="L116" s="84">
        <v>0</v>
      </c>
      <c r="M116" s="84">
        <v>167.73011058358645</v>
      </c>
      <c r="N116" s="84">
        <v>0</v>
      </c>
    </row>
    <row r="117" spans="1:14" x14ac:dyDescent="0.25">
      <c r="A117" s="74" t="s">
        <v>1049</v>
      </c>
      <c r="B117" s="74">
        <v>2818</v>
      </c>
      <c r="C117" t="e">
        <f>VLOOKUP(B117,'Waste Lookups'!$B$1:$C$292,2,FALSE)</f>
        <v>#N/A</v>
      </c>
      <c r="D117" s="84">
        <v>0</v>
      </c>
      <c r="E117" s="84">
        <v>685.05818181818188</v>
      </c>
      <c r="F117" s="84">
        <v>0</v>
      </c>
      <c r="G117" s="84">
        <v>903.63272727272738</v>
      </c>
      <c r="H117" s="84">
        <v>0</v>
      </c>
      <c r="I117" s="84"/>
      <c r="J117" s="84">
        <v>0</v>
      </c>
      <c r="K117" s="84">
        <v>689.14996539174615</v>
      </c>
      <c r="L117" s="84">
        <v>0</v>
      </c>
      <c r="M117" s="84">
        <v>909.03003460825369</v>
      </c>
      <c r="N117" s="84">
        <v>0</v>
      </c>
    </row>
    <row r="118" spans="1:14" x14ac:dyDescent="0.25">
      <c r="A118" s="74" t="s">
        <v>1051</v>
      </c>
      <c r="B118" s="74">
        <v>2820</v>
      </c>
      <c r="C118" t="e">
        <f>VLOOKUP(B118,'Waste Lookups'!$B$1:$C$292,2,FALSE)</f>
        <v>#N/A</v>
      </c>
      <c r="D118" s="84">
        <v>0</v>
      </c>
      <c r="E118" s="84">
        <v>57.349090909090911</v>
      </c>
      <c r="F118" s="84">
        <v>0</v>
      </c>
      <c r="G118" s="84">
        <v>61.25454545454545</v>
      </c>
      <c r="H118" s="84">
        <v>0</v>
      </c>
      <c r="I118" s="84"/>
      <c r="J118" s="84">
        <v>0</v>
      </c>
      <c r="K118" s="84">
        <v>0</v>
      </c>
      <c r="L118" s="84">
        <v>0</v>
      </c>
      <c r="M118" s="84">
        <v>0</v>
      </c>
      <c r="N118" s="84">
        <v>0</v>
      </c>
    </row>
    <row r="119" spans="1:14" x14ac:dyDescent="0.25">
      <c r="A119" s="74" t="s">
        <v>1053</v>
      </c>
      <c r="B119" s="74">
        <v>2824</v>
      </c>
      <c r="C119" t="e">
        <f>VLOOKUP(B119,'Waste Lookups'!$B$1:$C$292,2,FALSE)</f>
        <v>#N/A</v>
      </c>
      <c r="D119" s="84">
        <v>0</v>
      </c>
      <c r="E119" s="84">
        <v>761.74909090909091</v>
      </c>
      <c r="F119" s="84">
        <v>0</v>
      </c>
      <c r="G119" s="84">
        <v>483.50181818181818</v>
      </c>
      <c r="H119" s="84">
        <v>0</v>
      </c>
      <c r="I119" s="84"/>
      <c r="J119" s="84">
        <v>0</v>
      </c>
      <c r="K119" s="84">
        <v>559.38432456109604</v>
      </c>
      <c r="L119" s="84">
        <v>0</v>
      </c>
      <c r="M119" s="84">
        <v>355.05567543890385</v>
      </c>
      <c r="N119" s="84">
        <v>0</v>
      </c>
    </row>
    <row r="120" spans="1:14" x14ac:dyDescent="0.25">
      <c r="A120" s="74" t="s">
        <v>1055</v>
      </c>
      <c r="B120" s="74">
        <v>2825</v>
      </c>
      <c r="C120" t="e">
        <f>VLOOKUP(B120,'Waste Lookups'!$B$1:$C$292,2,FALSE)</f>
        <v>#N/A</v>
      </c>
      <c r="D120" s="84">
        <v>0</v>
      </c>
      <c r="E120" s="84">
        <v>2919.1745454545453</v>
      </c>
      <c r="F120" s="84">
        <v>0</v>
      </c>
      <c r="G120" s="84">
        <v>0</v>
      </c>
      <c r="H120" s="84">
        <v>0</v>
      </c>
      <c r="I120" s="84"/>
      <c r="J120" s="84">
        <v>0</v>
      </c>
      <c r="K120" s="84">
        <v>1641.75</v>
      </c>
      <c r="L120" s="84">
        <v>0</v>
      </c>
      <c r="M120" s="84">
        <v>0</v>
      </c>
      <c r="N120" s="84">
        <v>0</v>
      </c>
    </row>
    <row r="121" spans="1:14" x14ac:dyDescent="0.25">
      <c r="A121" s="74" t="s">
        <v>1057</v>
      </c>
      <c r="B121" s="74">
        <v>2847</v>
      </c>
      <c r="C121" t="e">
        <f>VLOOKUP(B121,'Waste Lookups'!$B$1:$C$292,2,FALSE)</f>
        <v>#N/A</v>
      </c>
      <c r="D121" s="84">
        <v>0</v>
      </c>
      <c r="E121" s="84">
        <v>1685.16</v>
      </c>
      <c r="F121" s="84">
        <v>0</v>
      </c>
      <c r="G121" s="84">
        <v>380.98909090909092</v>
      </c>
      <c r="H121" s="84">
        <v>0</v>
      </c>
      <c r="I121" s="84"/>
      <c r="J121" s="84">
        <v>0</v>
      </c>
      <c r="K121" s="84">
        <v>2281.0167455661917</v>
      </c>
      <c r="L121" s="84">
        <v>0</v>
      </c>
      <c r="M121" s="84">
        <v>515.7032544338083</v>
      </c>
      <c r="N121" s="84">
        <v>0</v>
      </c>
    </row>
    <row r="122" spans="1:14" x14ac:dyDescent="0.25">
      <c r="A122" s="74" t="s">
        <v>1059</v>
      </c>
      <c r="B122" s="74">
        <v>2850</v>
      </c>
      <c r="C122" t="e">
        <f>VLOOKUP(B122,'Waste Lookups'!$B$1:$C$292,2,FALSE)</f>
        <v>#N/A</v>
      </c>
      <c r="D122" s="84">
        <v>0</v>
      </c>
      <c r="E122" s="84">
        <v>477.40363636363634</v>
      </c>
      <c r="F122" s="84">
        <v>0</v>
      </c>
      <c r="G122" s="84">
        <v>0</v>
      </c>
      <c r="H122" s="84">
        <v>0</v>
      </c>
      <c r="I122" s="84"/>
      <c r="J122" s="84">
        <v>0</v>
      </c>
      <c r="K122" s="84">
        <v>3.14</v>
      </c>
      <c r="L122" s="84">
        <v>0</v>
      </c>
      <c r="M122" s="84">
        <v>0</v>
      </c>
      <c r="N122" s="84">
        <v>0</v>
      </c>
    </row>
    <row r="123" spans="1:14" x14ac:dyDescent="0.25">
      <c r="A123" s="74" t="s">
        <v>1061</v>
      </c>
      <c r="B123" s="74">
        <v>2851</v>
      </c>
      <c r="C123" t="e">
        <f>VLOOKUP(B123,'Waste Lookups'!$B$1:$C$292,2,FALSE)</f>
        <v>#N/A</v>
      </c>
      <c r="D123" s="84">
        <v>0</v>
      </c>
      <c r="E123" s="84">
        <v>806.13818181818192</v>
      </c>
      <c r="F123" s="84">
        <v>0</v>
      </c>
      <c r="G123" s="84">
        <v>0</v>
      </c>
      <c r="H123" s="84">
        <v>0</v>
      </c>
      <c r="I123" s="84"/>
      <c r="J123" s="84">
        <v>0</v>
      </c>
      <c r="K123" s="84">
        <v>0</v>
      </c>
      <c r="L123" s="84">
        <v>0</v>
      </c>
      <c r="M123" s="84">
        <v>0</v>
      </c>
      <c r="N123" s="84">
        <v>0</v>
      </c>
    </row>
    <row r="124" spans="1:14" x14ac:dyDescent="0.25">
      <c r="A124" s="74" t="s">
        <v>1063</v>
      </c>
      <c r="B124" s="74">
        <v>2852</v>
      </c>
      <c r="C124" t="e">
        <f>VLOOKUP(B124,'Waste Lookups'!$B$1:$C$292,2,FALSE)</f>
        <v>#N/A</v>
      </c>
      <c r="D124" s="84">
        <v>0</v>
      </c>
      <c r="E124" s="84">
        <v>1634.2036363636364</v>
      </c>
      <c r="F124" s="84">
        <v>0</v>
      </c>
      <c r="G124" s="84">
        <v>0</v>
      </c>
      <c r="H124" s="84">
        <v>0</v>
      </c>
      <c r="I124" s="84"/>
      <c r="J124" s="84">
        <v>0</v>
      </c>
      <c r="K124" s="84">
        <v>3861.97</v>
      </c>
      <c r="L124" s="84">
        <v>0</v>
      </c>
      <c r="M124" s="84">
        <v>0</v>
      </c>
      <c r="N124" s="84">
        <v>0</v>
      </c>
    </row>
    <row r="125" spans="1:14" x14ac:dyDescent="0.25">
      <c r="A125" s="74" t="s">
        <v>1065</v>
      </c>
      <c r="B125" s="74">
        <v>2853</v>
      </c>
      <c r="C125" t="e">
        <f>VLOOKUP(B125,'Waste Lookups'!$B$1:$C$292,2,FALSE)</f>
        <v>#N/A</v>
      </c>
      <c r="D125" s="84">
        <v>0</v>
      </c>
      <c r="E125" s="84">
        <v>2510.7054545454544</v>
      </c>
      <c r="F125" s="84">
        <v>0</v>
      </c>
      <c r="G125" s="84">
        <v>0</v>
      </c>
      <c r="H125" s="84">
        <v>0</v>
      </c>
      <c r="I125" s="84"/>
      <c r="J125" s="84">
        <v>0</v>
      </c>
      <c r="K125" s="84">
        <v>2461.7800000000002</v>
      </c>
      <c r="L125" s="84">
        <v>0</v>
      </c>
      <c r="M125" s="84">
        <v>0</v>
      </c>
      <c r="N125" s="84">
        <v>0</v>
      </c>
    </row>
    <row r="126" spans="1:14" x14ac:dyDescent="0.25">
      <c r="A126" s="74" t="s">
        <v>1067</v>
      </c>
      <c r="B126" s="74">
        <v>2854</v>
      </c>
      <c r="C126" t="e">
        <f>VLOOKUP(B126,'Waste Lookups'!$B$1:$C$292,2,FALSE)</f>
        <v>#N/A</v>
      </c>
      <c r="D126" s="84">
        <v>0</v>
      </c>
      <c r="E126" s="84">
        <v>2676.8727272727274</v>
      </c>
      <c r="F126" s="84">
        <v>0</v>
      </c>
      <c r="G126" s="84">
        <v>0</v>
      </c>
      <c r="H126" s="84">
        <v>0</v>
      </c>
      <c r="I126" s="84"/>
      <c r="J126" s="84">
        <v>0</v>
      </c>
      <c r="K126" s="84">
        <v>2626.7999999999997</v>
      </c>
      <c r="L126" s="84">
        <v>0</v>
      </c>
      <c r="M126" s="84">
        <v>0</v>
      </c>
      <c r="N126" s="84">
        <v>0</v>
      </c>
    </row>
    <row r="127" spans="1:14" x14ac:dyDescent="0.25">
      <c r="A127" s="74" t="s">
        <v>1069</v>
      </c>
      <c r="B127" s="74">
        <v>2856</v>
      </c>
      <c r="C127" t="e">
        <f>VLOOKUP(B127,'Waste Lookups'!$B$1:$C$292,2,FALSE)</f>
        <v>#N/A</v>
      </c>
      <c r="D127" s="84">
        <v>0</v>
      </c>
      <c r="E127" s="84">
        <v>595.29818181818189</v>
      </c>
      <c r="F127" s="84">
        <v>0</v>
      </c>
      <c r="G127" s="84">
        <v>85.090909090909093</v>
      </c>
      <c r="H127" s="84">
        <v>0</v>
      </c>
      <c r="I127" s="84"/>
      <c r="J127" s="84">
        <v>0</v>
      </c>
      <c r="K127" s="84">
        <v>1004.2274387917074</v>
      </c>
      <c r="L127" s="84">
        <v>0</v>
      </c>
      <c r="M127" s="84">
        <v>143.54256120829257</v>
      </c>
      <c r="N127" s="84">
        <v>0</v>
      </c>
    </row>
    <row r="128" spans="1:14" x14ac:dyDescent="0.25">
      <c r="A128" s="74" t="s">
        <v>1071</v>
      </c>
      <c r="B128" s="74">
        <v>2857</v>
      </c>
      <c r="C128" t="e">
        <f>VLOOKUP(B128,'Waste Lookups'!$B$1:$C$292,2,FALSE)</f>
        <v>#N/A</v>
      </c>
      <c r="D128" s="84">
        <v>0</v>
      </c>
      <c r="E128" s="84">
        <v>978.02181818181816</v>
      </c>
      <c r="F128" s="84">
        <v>0</v>
      </c>
      <c r="G128" s="84">
        <v>0</v>
      </c>
      <c r="H128" s="84">
        <v>0</v>
      </c>
      <c r="I128" s="84"/>
      <c r="J128" s="84">
        <v>0</v>
      </c>
      <c r="K128" s="84">
        <v>887.68</v>
      </c>
      <c r="L128" s="84">
        <v>0</v>
      </c>
      <c r="M128" s="84">
        <v>0</v>
      </c>
      <c r="N128" s="84">
        <v>0</v>
      </c>
    </row>
    <row r="129" spans="1:14" x14ac:dyDescent="0.25">
      <c r="A129" s="74" t="s">
        <v>1073</v>
      </c>
      <c r="B129" s="74">
        <v>2858</v>
      </c>
      <c r="C129" t="e">
        <f>VLOOKUP(B129,'Waste Lookups'!$B$1:$C$292,2,FALSE)</f>
        <v>#N/A</v>
      </c>
      <c r="D129" s="84">
        <v>0</v>
      </c>
      <c r="E129" s="84">
        <v>5898.141818181819</v>
      </c>
      <c r="F129" s="84">
        <v>0</v>
      </c>
      <c r="G129" s="84">
        <v>0</v>
      </c>
      <c r="H129" s="84">
        <v>0</v>
      </c>
      <c r="I129" s="84"/>
      <c r="J129" s="84">
        <v>0</v>
      </c>
      <c r="K129" s="84">
        <v>2026.48</v>
      </c>
      <c r="L129" s="84">
        <v>0</v>
      </c>
      <c r="M129" s="84">
        <v>0</v>
      </c>
      <c r="N129" s="84">
        <v>0</v>
      </c>
    </row>
    <row r="130" spans="1:14" x14ac:dyDescent="0.25">
      <c r="A130" s="74" t="s">
        <v>1075</v>
      </c>
      <c r="B130" s="74">
        <v>2860</v>
      </c>
      <c r="C130" t="e">
        <f>VLOOKUP(B130,'Waste Lookups'!$B$1:$C$292,2,FALSE)</f>
        <v>#N/A</v>
      </c>
      <c r="D130" s="84">
        <v>0</v>
      </c>
      <c r="E130" s="84">
        <v>2105.4872727272727</v>
      </c>
      <c r="F130" s="84">
        <v>0</v>
      </c>
      <c r="G130" s="84">
        <v>0</v>
      </c>
      <c r="H130" s="84">
        <v>0</v>
      </c>
      <c r="I130" s="84"/>
      <c r="J130" s="84">
        <v>0</v>
      </c>
      <c r="K130" s="84">
        <v>3711.67</v>
      </c>
      <c r="L130" s="84">
        <v>0</v>
      </c>
      <c r="M130" s="84">
        <v>0</v>
      </c>
      <c r="N130" s="84">
        <v>0</v>
      </c>
    </row>
    <row r="131" spans="1:14" x14ac:dyDescent="0.25">
      <c r="A131" s="74" t="s">
        <v>1077</v>
      </c>
      <c r="B131" s="74">
        <v>2862</v>
      </c>
      <c r="C131" t="e">
        <f>VLOOKUP(B131,'Waste Lookups'!$B$1:$C$292,2,FALSE)</f>
        <v>#N/A</v>
      </c>
      <c r="D131" s="84">
        <v>0</v>
      </c>
      <c r="E131" s="84">
        <v>2349.8945454545456</v>
      </c>
      <c r="F131" s="84">
        <v>0</v>
      </c>
      <c r="G131" s="84">
        <v>0</v>
      </c>
      <c r="H131" s="84">
        <v>0</v>
      </c>
      <c r="I131" s="84"/>
      <c r="J131" s="84">
        <v>0</v>
      </c>
      <c r="K131" s="84">
        <v>2329.31</v>
      </c>
      <c r="L131" s="84">
        <v>0</v>
      </c>
      <c r="M131" s="84">
        <v>0</v>
      </c>
      <c r="N131" s="84">
        <v>0</v>
      </c>
    </row>
    <row r="132" spans="1:14" x14ac:dyDescent="0.25">
      <c r="A132" s="74" t="s">
        <v>1079</v>
      </c>
      <c r="B132" s="74">
        <v>2863</v>
      </c>
      <c r="C132" t="e">
        <f>VLOOKUP(B132,'Waste Lookups'!$B$1:$C$292,2,FALSE)</f>
        <v>#N/A</v>
      </c>
      <c r="D132" s="84">
        <v>0</v>
      </c>
      <c r="E132" s="84">
        <v>933.1854545454546</v>
      </c>
      <c r="F132" s="84">
        <v>0</v>
      </c>
      <c r="G132" s="84">
        <v>0</v>
      </c>
      <c r="H132" s="84">
        <v>0</v>
      </c>
      <c r="I132" s="84"/>
      <c r="J132" s="84">
        <v>0</v>
      </c>
      <c r="K132" s="84">
        <v>0</v>
      </c>
      <c r="L132" s="84">
        <v>0</v>
      </c>
      <c r="M132" s="84">
        <v>0</v>
      </c>
      <c r="N132" s="84">
        <v>0</v>
      </c>
    </row>
    <row r="133" spans="1:14" x14ac:dyDescent="0.25">
      <c r="A133" s="74" t="s">
        <v>1081</v>
      </c>
      <c r="B133" s="74">
        <v>2866</v>
      </c>
      <c r="C133" t="e">
        <f>VLOOKUP(B133,'Waste Lookups'!$B$1:$C$292,2,FALSE)</f>
        <v>#N/A</v>
      </c>
      <c r="D133" s="84">
        <v>0</v>
      </c>
      <c r="E133" s="84">
        <v>1938.72</v>
      </c>
      <c r="F133" s="84">
        <v>0</v>
      </c>
      <c r="G133" s="84">
        <v>0</v>
      </c>
      <c r="H133" s="84">
        <v>0</v>
      </c>
      <c r="I133" s="84"/>
      <c r="J133" s="84">
        <v>0</v>
      </c>
      <c r="K133" s="84">
        <v>4158.07</v>
      </c>
      <c r="L133" s="84">
        <v>0</v>
      </c>
      <c r="M133" s="84">
        <v>0</v>
      </c>
      <c r="N133" s="84">
        <v>0</v>
      </c>
    </row>
    <row r="134" spans="1:14" x14ac:dyDescent="0.25">
      <c r="A134" s="74" t="s">
        <v>1083</v>
      </c>
      <c r="B134" s="74">
        <v>2867</v>
      </c>
      <c r="C134" t="e">
        <f>VLOOKUP(B134,'Waste Lookups'!$B$1:$C$292,2,FALSE)</f>
        <v>#N/A</v>
      </c>
      <c r="D134" s="84">
        <v>0</v>
      </c>
      <c r="E134" s="84">
        <v>463.74545454545455</v>
      </c>
      <c r="F134" s="84">
        <v>0</v>
      </c>
      <c r="G134" s="84">
        <v>357.68727272727273</v>
      </c>
      <c r="H134" s="84">
        <v>0</v>
      </c>
      <c r="I134" s="84"/>
      <c r="J134" s="84">
        <v>0</v>
      </c>
      <c r="K134" s="84">
        <v>24.513057451725146</v>
      </c>
      <c r="L134" s="84">
        <v>0</v>
      </c>
      <c r="M134" s="84">
        <v>18.906942548274856</v>
      </c>
      <c r="N134" s="84">
        <v>0</v>
      </c>
    </row>
    <row r="135" spans="1:14" x14ac:dyDescent="0.25">
      <c r="A135" s="74" t="s">
        <v>1085</v>
      </c>
      <c r="B135" s="74">
        <v>2868</v>
      </c>
      <c r="C135" t="e">
        <f>VLOOKUP(B135,'Waste Lookups'!$B$1:$C$292,2,FALSE)</f>
        <v>#N/A</v>
      </c>
      <c r="D135" s="84">
        <v>11836.341818181818</v>
      </c>
      <c r="E135" s="84">
        <v>2202.7636363636366</v>
      </c>
      <c r="F135" s="84">
        <v>0</v>
      </c>
      <c r="G135" s="84">
        <v>819.89454545454555</v>
      </c>
      <c r="H135" s="84">
        <v>0</v>
      </c>
      <c r="I135" s="84"/>
      <c r="J135" s="84">
        <v>6180.1412794890148</v>
      </c>
      <c r="K135" s="84">
        <v>1150.1349561514601</v>
      </c>
      <c r="L135" s="84">
        <v>0</v>
      </c>
      <c r="M135" s="84">
        <v>428.09376435952504</v>
      </c>
      <c r="N135" s="84">
        <v>0</v>
      </c>
    </row>
    <row r="136" spans="1:14" x14ac:dyDescent="0.25">
      <c r="A136" s="74" t="s">
        <v>1087</v>
      </c>
      <c r="B136" s="74">
        <v>2869</v>
      </c>
      <c r="C136" t="e">
        <f>VLOOKUP(B136,'Waste Lookups'!$B$1:$C$292,2,FALSE)</f>
        <v>#N/A</v>
      </c>
      <c r="D136" s="84">
        <v>0</v>
      </c>
      <c r="E136" s="84">
        <v>1381.9963636363636</v>
      </c>
      <c r="F136" s="84">
        <v>0</v>
      </c>
      <c r="G136" s="84">
        <v>0</v>
      </c>
      <c r="H136" s="84">
        <v>0</v>
      </c>
      <c r="I136" s="84"/>
      <c r="J136" s="84">
        <v>0</v>
      </c>
      <c r="K136" s="84">
        <v>1589.02</v>
      </c>
      <c r="L136" s="84">
        <v>0</v>
      </c>
      <c r="M136" s="84">
        <v>0</v>
      </c>
      <c r="N136" s="84">
        <v>0</v>
      </c>
    </row>
    <row r="137" spans="1:14" x14ac:dyDescent="0.25">
      <c r="A137" s="74" t="s">
        <v>1089</v>
      </c>
      <c r="B137" s="74">
        <v>2870</v>
      </c>
      <c r="C137" t="e">
        <f>VLOOKUP(B137,'Waste Lookups'!$B$1:$C$292,2,FALSE)</f>
        <v>#N/A</v>
      </c>
      <c r="D137" s="84">
        <v>0</v>
      </c>
      <c r="E137" s="84">
        <v>2327.1490909090908</v>
      </c>
      <c r="F137" s="84">
        <v>0</v>
      </c>
      <c r="G137" s="84">
        <v>0</v>
      </c>
      <c r="H137" s="84">
        <v>0</v>
      </c>
      <c r="I137" s="84"/>
      <c r="J137" s="84">
        <v>0</v>
      </c>
      <c r="K137" s="84">
        <v>4046.52</v>
      </c>
      <c r="L137" s="84">
        <v>0</v>
      </c>
      <c r="M137" s="84">
        <v>0</v>
      </c>
      <c r="N137" s="84">
        <v>0</v>
      </c>
    </row>
    <row r="138" spans="1:14" x14ac:dyDescent="0.25">
      <c r="A138" s="74" t="s">
        <v>1091</v>
      </c>
      <c r="B138" s="74">
        <v>2871</v>
      </c>
      <c r="C138" t="e">
        <f>VLOOKUP(B138,'Waste Lookups'!$B$1:$C$292,2,FALSE)</f>
        <v>#N/A</v>
      </c>
      <c r="D138" s="84">
        <v>0</v>
      </c>
      <c r="E138" s="84">
        <v>856.33090909090902</v>
      </c>
      <c r="F138" s="84">
        <v>0</v>
      </c>
      <c r="G138" s="84">
        <v>431.02909090909094</v>
      </c>
      <c r="H138" s="84">
        <v>0</v>
      </c>
      <c r="I138" s="84"/>
      <c r="J138" s="84">
        <v>0</v>
      </c>
      <c r="K138" s="84">
        <v>317.87799437326282</v>
      </c>
      <c r="L138" s="84">
        <v>0</v>
      </c>
      <c r="M138" s="84">
        <v>160.0020056267372</v>
      </c>
      <c r="N138" s="84">
        <v>0</v>
      </c>
    </row>
    <row r="139" spans="1:14" x14ac:dyDescent="0.25">
      <c r="A139" s="74" t="s">
        <v>1093</v>
      </c>
      <c r="B139" s="74">
        <v>2872</v>
      </c>
      <c r="C139" t="e">
        <f>VLOOKUP(B139,'Waste Lookups'!$B$1:$C$292,2,FALSE)</f>
        <v>#N/A</v>
      </c>
      <c r="D139" s="84">
        <v>0</v>
      </c>
      <c r="E139" s="84">
        <v>16287.24</v>
      </c>
      <c r="F139" s="84">
        <v>0</v>
      </c>
      <c r="G139" s="84">
        <v>0</v>
      </c>
      <c r="H139" s="84">
        <v>0</v>
      </c>
      <c r="I139" s="84"/>
      <c r="J139" s="84">
        <v>0</v>
      </c>
      <c r="K139" s="84">
        <v>9681.36</v>
      </c>
      <c r="L139" s="84">
        <v>0</v>
      </c>
      <c r="M139" s="84">
        <v>0</v>
      </c>
      <c r="N139" s="84">
        <v>0</v>
      </c>
    </row>
    <row r="140" spans="1:14" x14ac:dyDescent="0.25">
      <c r="A140" s="74" t="s">
        <v>1095</v>
      </c>
      <c r="B140" s="74">
        <v>2873</v>
      </c>
      <c r="C140" t="e">
        <f>VLOOKUP(B140,'Waste Lookups'!$B$1:$C$292,2,FALSE)</f>
        <v>#N/A</v>
      </c>
      <c r="D140" s="84">
        <v>0</v>
      </c>
      <c r="E140" s="84">
        <v>667.72363636363639</v>
      </c>
      <c r="F140" s="84">
        <v>0</v>
      </c>
      <c r="G140" s="84">
        <v>0</v>
      </c>
      <c r="H140" s="84">
        <v>0</v>
      </c>
      <c r="I140" s="84"/>
      <c r="J140" s="84">
        <v>0</v>
      </c>
      <c r="K140" s="84">
        <v>606.88</v>
      </c>
      <c r="L140" s="84">
        <v>0</v>
      </c>
      <c r="M140" s="84">
        <v>0</v>
      </c>
      <c r="N140" s="84">
        <v>0</v>
      </c>
    </row>
    <row r="141" spans="1:14" x14ac:dyDescent="0.25">
      <c r="A141" s="74" t="s">
        <v>1097</v>
      </c>
      <c r="B141" s="74">
        <v>2874</v>
      </c>
      <c r="C141" t="e">
        <f>VLOOKUP(B141,'Waste Lookups'!$B$1:$C$292,2,FALSE)</f>
        <v>#N/A</v>
      </c>
      <c r="D141" s="84">
        <v>0</v>
      </c>
      <c r="E141" s="84">
        <v>378.82909090909089</v>
      </c>
      <c r="F141" s="84">
        <v>0</v>
      </c>
      <c r="G141" s="84">
        <v>0</v>
      </c>
      <c r="H141" s="84">
        <v>0</v>
      </c>
      <c r="I141" s="84"/>
      <c r="J141" s="84">
        <v>0</v>
      </c>
      <c r="K141" s="84">
        <v>675.8</v>
      </c>
      <c r="L141" s="84">
        <v>0</v>
      </c>
      <c r="M141" s="84">
        <v>0</v>
      </c>
      <c r="N141" s="84">
        <v>0</v>
      </c>
    </row>
    <row r="142" spans="1:14" x14ac:dyDescent="0.25">
      <c r="A142" s="74" t="s">
        <v>1099</v>
      </c>
      <c r="B142" s="74">
        <v>2875</v>
      </c>
      <c r="C142" t="e">
        <f>VLOOKUP(B142,'Waste Lookups'!$B$1:$C$292,2,FALSE)</f>
        <v>#N/A</v>
      </c>
      <c r="D142" s="84">
        <v>0</v>
      </c>
      <c r="E142" s="84">
        <v>477.40363636363634</v>
      </c>
      <c r="F142" s="84">
        <v>0</v>
      </c>
      <c r="G142" s="84">
        <v>0</v>
      </c>
      <c r="H142" s="84">
        <v>0</v>
      </c>
      <c r="I142" s="84"/>
      <c r="J142" s="84">
        <v>0</v>
      </c>
      <c r="K142" s="84">
        <v>-82.15</v>
      </c>
      <c r="L142" s="84">
        <v>0</v>
      </c>
      <c r="M142" s="84">
        <v>0</v>
      </c>
      <c r="N142" s="84">
        <v>0</v>
      </c>
    </row>
    <row r="143" spans="1:14" x14ac:dyDescent="0.25">
      <c r="A143" s="74" t="s">
        <v>1101</v>
      </c>
      <c r="B143" s="74">
        <v>2876</v>
      </c>
      <c r="C143" t="e">
        <f>VLOOKUP(B143,'Waste Lookups'!$B$1:$C$292,2,FALSE)</f>
        <v>#N/A</v>
      </c>
      <c r="D143" s="84">
        <v>0</v>
      </c>
      <c r="E143" s="84">
        <v>1598.2363636363636</v>
      </c>
      <c r="F143" s="84">
        <v>0</v>
      </c>
      <c r="G143" s="84">
        <v>0</v>
      </c>
      <c r="H143" s="84">
        <v>0</v>
      </c>
      <c r="I143" s="84"/>
      <c r="J143" s="84">
        <v>0</v>
      </c>
      <c r="K143" s="84">
        <v>1279.6199999999999</v>
      </c>
      <c r="L143" s="84">
        <v>0</v>
      </c>
      <c r="M143" s="84">
        <v>0</v>
      </c>
      <c r="N143" s="84">
        <v>0</v>
      </c>
    </row>
    <row r="144" spans="1:14" x14ac:dyDescent="0.25">
      <c r="A144" s="74" t="s">
        <v>1103</v>
      </c>
      <c r="B144" s="74">
        <v>2877</v>
      </c>
      <c r="C144" t="e">
        <f>VLOOKUP(B144,'Waste Lookups'!$B$1:$C$292,2,FALSE)</f>
        <v>#N/A</v>
      </c>
      <c r="D144" s="84">
        <v>0</v>
      </c>
      <c r="E144" s="84">
        <v>602.18181818181813</v>
      </c>
      <c r="F144" s="84">
        <v>0</v>
      </c>
      <c r="G144" s="84">
        <v>0</v>
      </c>
      <c r="H144" s="84">
        <v>0</v>
      </c>
      <c r="I144" s="84"/>
      <c r="J144" s="84">
        <v>0</v>
      </c>
      <c r="K144" s="84">
        <v>666.74</v>
      </c>
      <c r="L144" s="84">
        <v>0</v>
      </c>
      <c r="M144" s="84">
        <v>0</v>
      </c>
      <c r="N144" s="84">
        <v>0</v>
      </c>
    </row>
    <row r="145" spans="1:14" x14ac:dyDescent="0.25">
      <c r="A145" s="74" t="s">
        <v>1105</v>
      </c>
      <c r="B145" s="74">
        <v>2897</v>
      </c>
      <c r="C145" t="e">
        <f>VLOOKUP(B145,'Waste Lookups'!$B$1:$C$292,2,FALSE)</f>
        <v>#N/A</v>
      </c>
      <c r="D145" s="84">
        <v>962.48727272727274</v>
      </c>
      <c r="E145" s="84">
        <v>820.69090909090914</v>
      </c>
      <c r="F145" s="84">
        <v>0</v>
      </c>
      <c r="G145" s="84">
        <v>241.44</v>
      </c>
      <c r="H145" s="84">
        <v>305.67272727272729</v>
      </c>
      <c r="I145" s="84"/>
      <c r="J145" s="84">
        <v>1579.1866154206264</v>
      </c>
      <c r="K145" s="84">
        <v>1346.5363498899865</v>
      </c>
      <c r="L145" s="84">
        <v>0</v>
      </c>
      <c r="M145" s="84">
        <v>396.13907345161743</v>
      </c>
      <c r="N145" s="84">
        <v>501.52796123776983</v>
      </c>
    </row>
    <row r="146" spans="1:14" x14ac:dyDescent="0.25">
      <c r="A146" s="74" t="s">
        <v>1107</v>
      </c>
      <c r="B146" s="74">
        <v>2899</v>
      </c>
      <c r="C146" t="e">
        <f>VLOOKUP(B146,'Waste Lookups'!$B$1:$C$292,2,FALSE)</f>
        <v>#N/A</v>
      </c>
      <c r="D146" s="84">
        <v>1761.3163636363638</v>
      </c>
      <c r="E146" s="84">
        <v>4423.9854545454546</v>
      </c>
      <c r="F146" s="84">
        <v>0</v>
      </c>
      <c r="G146" s="84">
        <v>2005.3745454545456</v>
      </c>
      <c r="H146" s="84">
        <v>1390.8436363636365</v>
      </c>
      <c r="I146" s="84"/>
      <c r="J146" s="84">
        <v>2265.9858035126713</v>
      </c>
      <c r="K146" s="84">
        <v>5691.5886560264871</v>
      </c>
      <c r="L146" s="84">
        <v>0</v>
      </c>
      <c r="M146" s="84">
        <v>2579.9739016470344</v>
      </c>
      <c r="N146" s="84">
        <v>1789.3616388138075</v>
      </c>
    </row>
    <row r="147" spans="1:14" x14ac:dyDescent="0.25">
      <c r="A147" s="74" t="s">
        <v>1109</v>
      </c>
      <c r="B147" s="74">
        <v>2900</v>
      </c>
      <c r="C147" t="e">
        <f>VLOOKUP(B147,'Waste Lookups'!$B$1:$C$292,2,FALSE)</f>
        <v>#N/A</v>
      </c>
      <c r="D147" s="84">
        <v>0</v>
      </c>
      <c r="E147" s="84">
        <v>993.91636363636371</v>
      </c>
      <c r="F147" s="84">
        <v>0</v>
      </c>
      <c r="G147" s="84">
        <v>231.29454545454547</v>
      </c>
      <c r="H147" s="84">
        <v>394.36363636363637</v>
      </c>
      <c r="I147" s="84"/>
      <c r="J147" s="84">
        <v>0</v>
      </c>
      <c r="K147" s="84">
        <v>1021.670763365463</v>
      </c>
      <c r="L147" s="84">
        <v>0</v>
      </c>
      <c r="M147" s="84">
        <v>237.75327931241205</v>
      </c>
      <c r="N147" s="84">
        <v>405.37595732212503</v>
      </c>
    </row>
    <row r="148" spans="1:14" x14ac:dyDescent="0.25">
      <c r="A148" s="74" t="s">
        <v>1111</v>
      </c>
      <c r="B148" s="74">
        <v>2901</v>
      </c>
      <c r="C148" t="e">
        <f>VLOOKUP(B148,'Waste Lookups'!$B$1:$C$292,2,FALSE)</f>
        <v>#N/A</v>
      </c>
      <c r="D148" s="84">
        <v>1703.7163636363634</v>
      </c>
      <c r="E148" s="84">
        <v>2737.701818181818</v>
      </c>
      <c r="F148" s="84">
        <v>0</v>
      </c>
      <c r="G148" s="84">
        <v>974.5090909090909</v>
      </c>
      <c r="H148" s="84">
        <v>1348.3636363636363</v>
      </c>
      <c r="I148" s="84"/>
      <c r="J148" s="84">
        <v>1864.7763966390348</v>
      </c>
      <c r="K148" s="84">
        <v>2996.5091845950387</v>
      </c>
      <c r="L148" s="84">
        <v>0</v>
      </c>
      <c r="M148" s="84">
        <v>1066.6338539818726</v>
      </c>
      <c r="N148" s="84">
        <v>1475.8305647840532</v>
      </c>
    </row>
    <row r="149" spans="1:14" x14ac:dyDescent="0.25">
      <c r="A149" s="74" t="s">
        <v>1113</v>
      </c>
      <c r="B149" s="74">
        <v>2902</v>
      </c>
      <c r="C149" t="e">
        <f>VLOOKUP(B149,'Waste Lookups'!$B$1:$C$292,2,FALSE)</f>
        <v>#N/A</v>
      </c>
      <c r="D149" s="84">
        <v>241.0690909090909</v>
      </c>
      <c r="E149" s="84">
        <v>0</v>
      </c>
      <c r="F149" s="84">
        <v>0</v>
      </c>
      <c r="G149" s="84">
        <v>0</v>
      </c>
      <c r="H149" s="84">
        <v>0</v>
      </c>
      <c r="I149" s="84"/>
      <c r="J149" s="84">
        <v>546.03</v>
      </c>
      <c r="K149" s="84">
        <v>0</v>
      </c>
      <c r="L149" s="84">
        <v>0</v>
      </c>
      <c r="M149" s="84">
        <v>0</v>
      </c>
      <c r="N149" s="84">
        <v>0</v>
      </c>
    </row>
    <row r="150" spans="1:14" x14ac:dyDescent="0.25">
      <c r="A150" s="74" t="s">
        <v>1115</v>
      </c>
      <c r="B150" s="74">
        <v>2903</v>
      </c>
      <c r="C150" t="e">
        <f>VLOOKUP(B150,'Waste Lookups'!$B$1:$C$292,2,FALSE)</f>
        <v>#N/A</v>
      </c>
      <c r="D150" s="84">
        <v>0</v>
      </c>
      <c r="E150" s="84">
        <v>790.01454545454544</v>
      </c>
      <c r="F150" s="84">
        <v>0</v>
      </c>
      <c r="G150" s="84">
        <v>502.42909090909086</v>
      </c>
      <c r="H150" s="84">
        <v>11.454545454545455</v>
      </c>
      <c r="I150" s="84"/>
      <c r="J150" s="84">
        <v>0</v>
      </c>
      <c r="K150" s="84">
        <v>2202.337507111542</v>
      </c>
      <c r="L150" s="84">
        <v>0</v>
      </c>
      <c r="M150" s="84">
        <v>1400.6304541347338</v>
      </c>
      <c r="N150" s="84">
        <v>31.932038753723095</v>
      </c>
    </row>
    <row r="151" spans="1:14" x14ac:dyDescent="0.25">
      <c r="A151" s="74" t="s">
        <v>1117</v>
      </c>
      <c r="B151" s="74">
        <v>2904</v>
      </c>
      <c r="C151" t="e">
        <f>VLOOKUP(B151,'Waste Lookups'!$B$1:$C$292,2,FALSE)</f>
        <v>#N/A</v>
      </c>
      <c r="D151" s="84">
        <v>1874.0836363636365</v>
      </c>
      <c r="E151" s="84">
        <v>805.3963636363635</v>
      </c>
      <c r="F151" s="84">
        <v>0</v>
      </c>
      <c r="G151" s="84">
        <v>477.62181818181818</v>
      </c>
      <c r="H151" s="84">
        <v>6.545454545454545</v>
      </c>
      <c r="I151" s="84"/>
      <c r="J151" s="84">
        <v>3116.7755940151928</v>
      </c>
      <c r="K151" s="84">
        <v>1339.4491478305245</v>
      </c>
      <c r="L151" s="84">
        <v>0</v>
      </c>
      <c r="M151" s="84">
        <v>794.32955776014558</v>
      </c>
      <c r="N151" s="84">
        <v>10.885700394136572</v>
      </c>
    </row>
    <row r="152" spans="1:14" x14ac:dyDescent="0.25">
      <c r="A152" s="74" t="s">
        <v>763</v>
      </c>
      <c r="B152" s="74">
        <v>2905</v>
      </c>
      <c r="C152" t="str">
        <f>VLOOKUP(B152,'Waste Lookups'!$B$1:$C$292,2,FALSE)</f>
        <v>Monkton Hall</v>
      </c>
      <c r="D152" s="84">
        <v>1554.2727272727275</v>
      </c>
      <c r="E152" s="84">
        <v>2252.1490909090908</v>
      </c>
      <c r="F152" s="84">
        <v>0</v>
      </c>
      <c r="G152" s="84">
        <v>973.85454545454547</v>
      </c>
      <c r="H152" s="84">
        <v>1522.9309090909092</v>
      </c>
      <c r="I152" s="84"/>
      <c r="J152" s="84">
        <v>1543.5297164733454</v>
      </c>
      <c r="K152" s="84">
        <v>2236.5824135937723</v>
      </c>
      <c r="L152" s="84">
        <v>0</v>
      </c>
      <c r="M152" s="84">
        <v>967.12333946008448</v>
      </c>
      <c r="N152" s="84">
        <v>1512.4045304727986</v>
      </c>
    </row>
    <row r="153" spans="1:14" x14ac:dyDescent="0.25">
      <c r="A153" s="74" t="s">
        <v>1120</v>
      </c>
      <c r="B153" s="74">
        <v>2906</v>
      </c>
      <c r="C153" t="e">
        <f>VLOOKUP(B153,'Waste Lookups'!$B$1:$C$292,2,FALSE)</f>
        <v>#N/A</v>
      </c>
      <c r="D153" s="84">
        <v>0</v>
      </c>
      <c r="E153" s="84">
        <v>58.909090909090907</v>
      </c>
      <c r="F153" s="84">
        <v>0</v>
      </c>
      <c r="G153" s="84">
        <v>0</v>
      </c>
      <c r="H153" s="84">
        <v>705.79636363636371</v>
      </c>
      <c r="I153" s="84"/>
      <c r="J153" s="84">
        <v>0</v>
      </c>
      <c r="K153" s="84">
        <v>85.237695797312327</v>
      </c>
      <c r="L153" s="84">
        <v>0</v>
      </c>
      <c r="M153" s="84">
        <v>0</v>
      </c>
      <c r="N153" s="84">
        <v>1021.2423042026877</v>
      </c>
    </row>
    <row r="154" spans="1:14" x14ac:dyDescent="0.25">
      <c r="A154" s="74" t="s">
        <v>1122</v>
      </c>
      <c r="B154" s="74">
        <v>2907</v>
      </c>
      <c r="C154" t="e">
        <f>VLOOKUP(B154,'Waste Lookups'!$B$1:$C$292,2,FALSE)</f>
        <v>#N/A</v>
      </c>
      <c r="D154" s="84">
        <v>2598.8618181818183</v>
      </c>
      <c r="E154" s="84">
        <v>1521.0436363636363</v>
      </c>
      <c r="F154" s="84">
        <v>0</v>
      </c>
      <c r="G154" s="84">
        <v>974.5090909090909</v>
      </c>
      <c r="H154" s="84">
        <v>840.37090909090909</v>
      </c>
      <c r="I154" s="84"/>
      <c r="J154" s="84">
        <v>2682.2624819584503</v>
      </c>
      <c r="K154" s="84">
        <v>1569.8557925230964</v>
      </c>
      <c r="L154" s="84">
        <v>0</v>
      </c>
      <c r="M154" s="84">
        <v>1005.7822830694348</v>
      </c>
      <c r="N154" s="84">
        <v>867.33944244901863</v>
      </c>
    </row>
    <row r="155" spans="1:14" x14ac:dyDescent="0.25">
      <c r="A155" s="74" t="s">
        <v>1124</v>
      </c>
      <c r="B155" s="74">
        <v>2908</v>
      </c>
      <c r="C155" t="e">
        <f>VLOOKUP(B155,'Waste Lookups'!$B$1:$C$292,2,FALSE)</f>
        <v>#N/A</v>
      </c>
      <c r="D155" s="84">
        <v>0</v>
      </c>
      <c r="E155" s="84">
        <v>2152.429090909091</v>
      </c>
      <c r="F155" s="84">
        <v>0</v>
      </c>
      <c r="G155" s="84">
        <v>497.35636363636365</v>
      </c>
      <c r="H155" s="84">
        <v>733.15636363636361</v>
      </c>
      <c r="I155" s="84"/>
      <c r="J155" s="84">
        <v>0</v>
      </c>
      <c r="K155" s="84">
        <v>-471.10566998706884</v>
      </c>
      <c r="L155" s="84">
        <v>0</v>
      </c>
      <c r="M155" s="84">
        <v>-108.85719947888283</v>
      </c>
      <c r="N155" s="84">
        <v>-160.46713053404835</v>
      </c>
    </row>
    <row r="156" spans="1:14" x14ac:dyDescent="0.25">
      <c r="A156" s="74" t="s">
        <v>1126</v>
      </c>
      <c r="B156" s="74">
        <v>2922</v>
      </c>
      <c r="C156" t="e">
        <f>VLOOKUP(B156,'Waste Lookups'!$B$1:$C$292,2,FALSE)</f>
        <v>#N/A</v>
      </c>
      <c r="D156" s="84">
        <v>0</v>
      </c>
      <c r="E156" s="84">
        <v>677.40000000000009</v>
      </c>
      <c r="F156" s="84">
        <v>0</v>
      </c>
      <c r="G156" s="84">
        <v>225.55636363636364</v>
      </c>
      <c r="H156" s="84">
        <v>3.2727272727272725</v>
      </c>
      <c r="I156" s="84"/>
      <c r="J156" s="84">
        <v>0</v>
      </c>
      <c r="K156" s="84">
        <v>714.99958288692812</v>
      </c>
      <c r="L156" s="84">
        <v>0</v>
      </c>
      <c r="M156" s="84">
        <v>238.07603471729001</v>
      </c>
      <c r="N156" s="84">
        <v>3.4543823957819213</v>
      </c>
    </row>
    <row r="157" spans="1:14" x14ac:dyDescent="0.25">
      <c r="A157" s="74" t="s">
        <v>1128</v>
      </c>
      <c r="B157" s="74">
        <v>2923</v>
      </c>
      <c r="C157" t="e">
        <f>VLOOKUP(B157,'Waste Lookups'!$B$1:$C$292,2,FALSE)</f>
        <v>#N/A</v>
      </c>
      <c r="D157" s="84">
        <v>0</v>
      </c>
      <c r="E157" s="84">
        <v>58.909090909090907</v>
      </c>
      <c r="F157" s="84">
        <v>0</v>
      </c>
      <c r="G157" s="84">
        <v>0</v>
      </c>
      <c r="H157" s="84">
        <v>1552.0581818181818</v>
      </c>
      <c r="I157" s="84"/>
      <c r="J157" s="84">
        <v>0</v>
      </c>
      <c r="K157" s="84">
        <v>65.558264261335921</v>
      </c>
      <c r="L157" s="84">
        <v>0</v>
      </c>
      <c r="M157" s="84">
        <v>0</v>
      </c>
      <c r="N157" s="84">
        <v>1727.2417357386639</v>
      </c>
    </row>
    <row r="158" spans="1:14" x14ac:dyDescent="0.25">
      <c r="A158" s="74" t="s">
        <v>1130</v>
      </c>
      <c r="B158" s="74">
        <v>2924</v>
      </c>
      <c r="C158" t="e">
        <f>VLOOKUP(B158,'Waste Lookups'!$B$1:$C$292,2,FALSE)</f>
        <v>#N/A</v>
      </c>
      <c r="D158" s="84">
        <v>0</v>
      </c>
      <c r="E158" s="84">
        <v>0</v>
      </c>
      <c r="F158" s="84">
        <v>0</v>
      </c>
      <c r="G158" s="84">
        <v>0</v>
      </c>
      <c r="H158" s="84">
        <v>6.545454545454545</v>
      </c>
      <c r="I158" s="84"/>
      <c r="J158" s="84">
        <v>0</v>
      </c>
      <c r="K158" s="84">
        <v>0</v>
      </c>
      <c r="L158" s="84">
        <v>0</v>
      </c>
      <c r="M158" s="84">
        <v>0</v>
      </c>
      <c r="N158" s="84">
        <v>126.4</v>
      </c>
    </row>
    <row r="159" spans="1:14" x14ac:dyDescent="0.25">
      <c r="A159" s="74" t="s">
        <v>1132</v>
      </c>
      <c r="B159" s="74">
        <v>2925</v>
      </c>
      <c r="C159" t="e">
        <f>VLOOKUP(B159,'Waste Lookups'!$B$1:$C$292,2,FALSE)</f>
        <v>#N/A</v>
      </c>
      <c r="D159" s="84">
        <v>0</v>
      </c>
      <c r="E159" s="84">
        <v>4274.312727272727</v>
      </c>
      <c r="F159" s="84">
        <v>0</v>
      </c>
      <c r="G159" s="84">
        <v>1761.4909090909091</v>
      </c>
      <c r="H159" s="84">
        <v>1062.850909090909</v>
      </c>
      <c r="I159" s="84"/>
      <c r="J159" s="84">
        <v>0</v>
      </c>
      <c r="K159" s="84">
        <v>4029.7428558958673</v>
      </c>
      <c r="L159" s="84">
        <v>0</v>
      </c>
      <c r="M159" s="84">
        <v>1660.7009967573879</v>
      </c>
      <c r="N159" s="84">
        <v>1002.0361473467441</v>
      </c>
    </row>
    <row r="160" spans="1:14" x14ac:dyDescent="0.25">
      <c r="A160" s="74" t="s">
        <v>1134</v>
      </c>
      <c r="B160" s="74">
        <v>2926</v>
      </c>
      <c r="C160" t="e">
        <f>VLOOKUP(B160,'Waste Lookups'!$B$1:$C$292,2,FALSE)</f>
        <v>#N/A</v>
      </c>
      <c r="D160" s="84">
        <v>3063.6327272727272</v>
      </c>
      <c r="E160" s="84">
        <v>2715.6654545454548</v>
      </c>
      <c r="F160" s="84">
        <v>0</v>
      </c>
      <c r="G160" s="84">
        <v>2344.9418181818182</v>
      </c>
      <c r="H160" s="84">
        <v>781.44</v>
      </c>
      <c r="I160" s="84"/>
      <c r="J160" s="84">
        <v>2496.7887060760404</v>
      </c>
      <c r="K160" s="84">
        <v>2213.2035527724493</v>
      </c>
      <c r="L160" s="84">
        <v>0</v>
      </c>
      <c r="M160" s="84">
        <v>1911.0724976664537</v>
      </c>
      <c r="N160" s="84">
        <v>636.85524348505669</v>
      </c>
    </row>
    <row r="161" spans="1:14" x14ac:dyDescent="0.25">
      <c r="A161" s="74" t="s">
        <v>1136</v>
      </c>
      <c r="B161" s="74">
        <v>2928</v>
      </c>
      <c r="C161" t="e">
        <f>VLOOKUP(B161,'Waste Lookups'!$B$1:$C$292,2,FALSE)</f>
        <v>#N/A</v>
      </c>
      <c r="D161" s="84">
        <v>0</v>
      </c>
      <c r="E161" s="84">
        <v>58.909090909090907</v>
      </c>
      <c r="F161" s="84">
        <v>0</v>
      </c>
      <c r="G161" s="84">
        <v>0</v>
      </c>
      <c r="H161" s="84">
        <v>653.89090909090908</v>
      </c>
      <c r="I161" s="84"/>
      <c r="J161" s="84">
        <v>0</v>
      </c>
      <c r="K161" s="84">
        <v>53.553719008264466</v>
      </c>
      <c r="L161" s="84">
        <v>0</v>
      </c>
      <c r="M161" s="84">
        <v>0</v>
      </c>
      <c r="N161" s="84">
        <v>594.44628099173553</v>
      </c>
    </row>
    <row r="162" spans="1:14" x14ac:dyDescent="0.25">
      <c r="A162" s="74" t="s">
        <v>663</v>
      </c>
      <c r="B162" s="74">
        <v>2929</v>
      </c>
      <c r="C162" t="str">
        <f>VLOOKUP(B162,'Waste Lookups'!$B$1:$C$292,2,FALSE)</f>
        <v>The Old Telephone Exchange</v>
      </c>
      <c r="D162" s="84">
        <v>0</v>
      </c>
      <c r="E162" s="84">
        <v>3626.6400000000003</v>
      </c>
      <c r="F162" s="84">
        <v>0</v>
      </c>
      <c r="G162" s="84">
        <v>436.69090909090909</v>
      </c>
      <c r="H162" s="84">
        <v>31.418181818181818</v>
      </c>
      <c r="I162" s="84"/>
      <c r="J162" s="84">
        <v>0</v>
      </c>
      <c r="K162" s="84">
        <v>2494.8826547347553</v>
      </c>
      <c r="L162" s="84">
        <v>0</v>
      </c>
      <c r="M162" s="84">
        <v>300.41376441313753</v>
      </c>
      <c r="N162" s="84">
        <v>21.613580852106818</v>
      </c>
    </row>
    <row r="163" spans="1:14" x14ac:dyDescent="0.25">
      <c r="A163" s="74" t="s">
        <v>1139</v>
      </c>
      <c r="B163" s="74">
        <v>2931</v>
      </c>
      <c r="C163" t="e">
        <f>VLOOKUP(B163,'Waste Lookups'!$B$1:$C$292,2,FALSE)</f>
        <v>#N/A</v>
      </c>
      <c r="D163" s="84">
        <v>0</v>
      </c>
      <c r="E163" s="84">
        <v>1726.0036363636364</v>
      </c>
      <c r="F163" s="84">
        <v>0</v>
      </c>
      <c r="G163" s="84">
        <v>519.39272727272726</v>
      </c>
      <c r="H163" s="84">
        <v>657.81818181818187</v>
      </c>
      <c r="I163" s="84"/>
      <c r="J163" s="84">
        <v>0</v>
      </c>
      <c r="K163" s="84">
        <v>2080.9440272350143</v>
      </c>
      <c r="L163" s="84">
        <v>0</v>
      </c>
      <c r="M163" s="84">
        <v>626.20215324956405</v>
      </c>
      <c r="N163" s="84">
        <v>793.09381951542116</v>
      </c>
    </row>
    <row r="164" spans="1:14" x14ac:dyDescent="0.25">
      <c r="A164" s="74" t="s">
        <v>1141</v>
      </c>
      <c r="B164" s="74">
        <v>2932</v>
      </c>
      <c r="C164" t="e">
        <f>VLOOKUP(B164,'Waste Lookups'!$B$1:$C$292,2,FALSE)</f>
        <v>#N/A</v>
      </c>
      <c r="D164" s="84">
        <v>4542.9709090909091</v>
      </c>
      <c r="E164" s="84">
        <v>4255.92</v>
      </c>
      <c r="F164" s="84">
        <v>0</v>
      </c>
      <c r="G164" s="84">
        <v>3060.8836363636365</v>
      </c>
      <c r="H164" s="84">
        <v>877.74545454545455</v>
      </c>
      <c r="I164" s="84"/>
      <c r="J164" s="84">
        <v>3131.8898025960807</v>
      </c>
      <c r="K164" s="84">
        <v>2933.9990758012545</v>
      </c>
      <c r="L164" s="84">
        <v>0</v>
      </c>
      <c r="M164" s="84">
        <v>2110.150040467418</v>
      </c>
      <c r="N164" s="84">
        <v>605.11108113524597</v>
      </c>
    </row>
    <row r="165" spans="1:14" x14ac:dyDescent="0.25">
      <c r="A165" s="74" t="s">
        <v>1143</v>
      </c>
      <c r="B165" s="74">
        <v>2933</v>
      </c>
      <c r="C165" t="e">
        <f>VLOOKUP(B165,'Waste Lookups'!$B$1:$C$292,2,FALSE)</f>
        <v>#N/A</v>
      </c>
      <c r="D165" s="84">
        <v>0</v>
      </c>
      <c r="E165" s="84">
        <v>115.30909090909091</v>
      </c>
      <c r="F165" s="84">
        <v>0</v>
      </c>
      <c r="G165" s="84">
        <v>100.75636363636363</v>
      </c>
      <c r="H165" s="84">
        <v>98.181818181818187</v>
      </c>
      <c r="I165" s="84"/>
      <c r="J165" s="84">
        <v>0</v>
      </c>
      <c r="K165" s="84">
        <v>2537.3283899187668</v>
      </c>
      <c r="L165" s="84">
        <v>0</v>
      </c>
      <c r="M165" s="84">
        <v>2217.1017038117056</v>
      </c>
      <c r="N165" s="84">
        <v>2160.4499062695272</v>
      </c>
    </row>
    <row r="166" spans="1:14" x14ac:dyDescent="0.25">
      <c r="A166" s="74" t="s">
        <v>1145</v>
      </c>
      <c r="B166" s="74">
        <v>2934</v>
      </c>
      <c r="C166" t="e">
        <f>VLOOKUP(B166,'Waste Lookups'!$B$1:$C$292,2,FALSE)</f>
        <v>#N/A</v>
      </c>
      <c r="D166" s="84">
        <v>0</v>
      </c>
      <c r="E166" s="84">
        <v>782.48727272727274</v>
      </c>
      <c r="F166" s="84">
        <v>0</v>
      </c>
      <c r="G166" s="84">
        <v>517.60363636363638</v>
      </c>
      <c r="H166" s="84">
        <v>1018.6036363636365</v>
      </c>
      <c r="I166" s="84"/>
      <c r="J166" s="84">
        <v>0</v>
      </c>
      <c r="K166" s="84">
        <v>636.72280145097318</v>
      </c>
      <c r="L166" s="84">
        <v>0</v>
      </c>
      <c r="M166" s="84">
        <v>421.18261711527327</v>
      </c>
      <c r="N166" s="84">
        <v>828.85458143375354</v>
      </c>
    </row>
    <row r="167" spans="1:14" x14ac:dyDescent="0.25">
      <c r="A167" s="74" t="s">
        <v>1147</v>
      </c>
      <c r="B167" s="74">
        <v>2935</v>
      </c>
      <c r="C167" t="e">
        <f>VLOOKUP(B167,'Waste Lookups'!$B$1:$C$292,2,FALSE)</f>
        <v>#N/A</v>
      </c>
      <c r="D167" s="84">
        <v>0</v>
      </c>
      <c r="E167" s="84">
        <v>4456.2654545454543</v>
      </c>
      <c r="F167" s="84">
        <v>0</v>
      </c>
      <c r="G167" s="84">
        <v>1908.5563636363636</v>
      </c>
      <c r="H167" s="84">
        <v>819.29454545454541</v>
      </c>
      <c r="I167" s="84"/>
      <c r="J167" s="84">
        <v>0</v>
      </c>
      <c r="K167" s="84">
        <v>4230.0092108651816</v>
      </c>
      <c r="L167" s="84">
        <v>0</v>
      </c>
      <c r="M167" s="84">
        <v>1811.6539689982749</v>
      </c>
      <c r="N167" s="84">
        <v>777.69682013654369</v>
      </c>
    </row>
    <row r="168" spans="1:14" x14ac:dyDescent="0.25">
      <c r="A168" s="74" t="s">
        <v>761</v>
      </c>
      <c r="B168" s="74">
        <v>2936</v>
      </c>
      <c r="C168" t="str">
        <f>VLOOKUP(B168,'Waste Lookups'!$B$1:$C$292,2,FALSE)</f>
        <v>Pemberton House</v>
      </c>
      <c r="D168" s="84">
        <v>0</v>
      </c>
      <c r="E168" s="84">
        <v>6979.0472727272736</v>
      </c>
      <c r="F168" s="84">
        <v>0</v>
      </c>
      <c r="G168" s="84">
        <v>401.21454545454537</v>
      </c>
      <c r="H168" s="84">
        <v>2329.7890909090906</v>
      </c>
      <c r="I168" s="84"/>
      <c r="J168" s="84">
        <v>0</v>
      </c>
      <c r="K168" s="84">
        <v>7703.6706141190534</v>
      </c>
      <c r="L168" s="84">
        <v>0</v>
      </c>
      <c r="M168" s="84">
        <v>442.87201146403493</v>
      </c>
      <c r="N168" s="84">
        <v>2571.6873744169111</v>
      </c>
    </row>
    <row r="169" spans="1:14" x14ac:dyDescent="0.25">
      <c r="A169" s="74" t="s">
        <v>1150</v>
      </c>
      <c r="B169" s="74">
        <v>2938</v>
      </c>
      <c r="C169" t="e">
        <f>VLOOKUP(B169,'Waste Lookups'!$B$1:$C$292,2,FALSE)</f>
        <v>#N/A</v>
      </c>
      <c r="D169" s="84">
        <v>0</v>
      </c>
      <c r="E169" s="84">
        <v>1775.0290909090909</v>
      </c>
      <c r="F169" s="84">
        <v>0</v>
      </c>
      <c r="G169" s="84">
        <v>713.21454545454537</v>
      </c>
      <c r="H169" s="84">
        <v>1916.5090909090909</v>
      </c>
      <c r="I169" s="84"/>
      <c r="J169" s="84">
        <v>0</v>
      </c>
      <c r="K169" s="84">
        <v>2654.2184272938234</v>
      </c>
      <c r="L169" s="84">
        <v>0</v>
      </c>
      <c r="M169" s="84">
        <v>1066.4767123280883</v>
      </c>
      <c r="N169" s="84">
        <v>2865.7748603780869</v>
      </c>
    </row>
    <row r="170" spans="1:14" x14ac:dyDescent="0.25">
      <c r="A170" s="74" t="s">
        <v>1152</v>
      </c>
      <c r="B170" s="74">
        <v>2939</v>
      </c>
      <c r="C170" t="e">
        <f>VLOOKUP(B170,'Waste Lookups'!$B$1:$C$292,2,FALSE)</f>
        <v>#N/A</v>
      </c>
      <c r="D170" s="84">
        <v>0</v>
      </c>
      <c r="E170" s="84">
        <v>1827.6218181818181</v>
      </c>
      <c r="F170" s="84">
        <v>0</v>
      </c>
      <c r="G170" s="84">
        <v>1133.5527272727272</v>
      </c>
      <c r="H170" s="84">
        <v>686.9454545454546</v>
      </c>
      <c r="I170" s="84"/>
      <c r="J170" s="84">
        <v>0</v>
      </c>
      <c r="K170" s="84">
        <v>1458.0966574664112</v>
      </c>
      <c r="L170" s="84">
        <v>0</v>
      </c>
      <c r="M170" s="84">
        <v>904.36075245730569</v>
      </c>
      <c r="N170" s="84">
        <v>548.05259007628342</v>
      </c>
    </row>
    <row r="171" spans="1:14" x14ac:dyDescent="0.25">
      <c r="A171" s="74" t="s">
        <v>1154</v>
      </c>
      <c r="B171" s="74">
        <v>2940</v>
      </c>
      <c r="C171" t="e">
        <f>VLOOKUP(B171,'Waste Lookups'!$B$1:$C$292,2,FALSE)</f>
        <v>#N/A</v>
      </c>
      <c r="D171" s="84">
        <v>0</v>
      </c>
      <c r="E171" s="84">
        <v>655.02545454545464</v>
      </c>
      <c r="F171" s="84">
        <v>0</v>
      </c>
      <c r="G171" s="84">
        <v>1401.0436363636363</v>
      </c>
      <c r="H171" s="84">
        <v>662.07272727272721</v>
      </c>
      <c r="I171" s="84"/>
      <c r="J171" s="84">
        <v>0</v>
      </c>
      <c r="K171" s="84">
        <v>1152.4448649277783</v>
      </c>
      <c r="L171" s="84">
        <v>0</v>
      </c>
      <c r="M171" s="84">
        <v>2464.981372956659</v>
      </c>
      <c r="N171" s="84">
        <v>1164.8437621155626</v>
      </c>
    </row>
    <row r="172" spans="1:14" x14ac:dyDescent="0.25">
      <c r="A172" s="74" t="s">
        <v>1156</v>
      </c>
      <c r="B172" s="74">
        <v>2941</v>
      </c>
      <c r="C172" t="e">
        <f>VLOOKUP(B172,'Waste Lookups'!$B$1:$C$292,2,FALSE)</f>
        <v>#N/A</v>
      </c>
      <c r="D172" s="84">
        <v>0</v>
      </c>
      <c r="E172" s="84">
        <v>782.34545454545446</v>
      </c>
      <c r="F172" s="84">
        <v>0</v>
      </c>
      <c r="G172" s="84">
        <v>862.82181818181812</v>
      </c>
      <c r="H172" s="84">
        <v>662.07272727272721</v>
      </c>
      <c r="I172" s="84"/>
      <c r="J172" s="84">
        <v>0</v>
      </c>
      <c r="K172" s="84">
        <v>649.29613611540583</v>
      </c>
      <c r="L172" s="84">
        <v>0</v>
      </c>
      <c r="M172" s="84">
        <v>716.0863138484234</v>
      </c>
      <c r="N172" s="84">
        <v>549.47755003617067</v>
      </c>
    </row>
    <row r="173" spans="1:14" x14ac:dyDescent="0.25">
      <c r="A173" s="74" t="s">
        <v>1158</v>
      </c>
      <c r="B173" s="74">
        <v>2942</v>
      </c>
      <c r="C173" t="e">
        <f>VLOOKUP(B173,'Waste Lookups'!$B$1:$C$292,2,FALSE)</f>
        <v>#N/A</v>
      </c>
      <c r="D173" s="84">
        <v>0</v>
      </c>
      <c r="E173" s="84">
        <v>1662.2400000000002</v>
      </c>
      <c r="F173" s="84">
        <v>0</v>
      </c>
      <c r="G173" s="84">
        <v>1016.029090909091</v>
      </c>
      <c r="H173" s="84">
        <v>665.34545454545457</v>
      </c>
      <c r="I173" s="84"/>
      <c r="J173" s="84">
        <v>0</v>
      </c>
      <c r="K173" s="84">
        <v>1666.766673322501</v>
      </c>
      <c r="L173" s="84">
        <v>0</v>
      </c>
      <c r="M173" s="84">
        <v>1018.7959788318356</v>
      </c>
      <c r="N173" s="84">
        <v>667.1573478456628</v>
      </c>
    </row>
    <row r="174" spans="1:14" x14ac:dyDescent="0.25">
      <c r="A174" s="74" t="s">
        <v>1160</v>
      </c>
      <c r="B174" s="74">
        <v>2943</v>
      </c>
      <c r="C174" t="e">
        <f>VLOOKUP(B174,'Waste Lookups'!$B$1:$C$292,2,FALSE)</f>
        <v>#N/A</v>
      </c>
      <c r="D174" s="84">
        <v>0</v>
      </c>
      <c r="E174" s="84">
        <v>2374.8872727272728</v>
      </c>
      <c r="F174" s="84">
        <v>0</v>
      </c>
      <c r="G174" s="84">
        <v>482.15999999999997</v>
      </c>
      <c r="H174" s="84">
        <v>699.84</v>
      </c>
      <c r="I174" s="84"/>
      <c r="J174" s="84">
        <v>0</v>
      </c>
      <c r="K174" s="84">
        <v>3627.2294752306411</v>
      </c>
      <c r="L174" s="84">
        <v>0</v>
      </c>
      <c r="M174" s="84">
        <v>736.4159907130238</v>
      </c>
      <c r="N174" s="84">
        <v>1068.8845340563353</v>
      </c>
    </row>
    <row r="175" spans="1:14" x14ac:dyDescent="0.25">
      <c r="A175" s="74" t="s">
        <v>1162</v>
      </c>
      <c r="B175" s="74">
        <v>2946</v>
      </c>
      <c r="C175" t="e">
        <f>VLOOKUP(B175,'Waste Lookups'!$B$1:$C$292,2,FALSE)</f>
        <v>#N/A</v>
      </c>
      <c r="D175" s="84">
        <v>0</v>
      </c>
      <c r="E175" s="84">
        <v>7659.7527272727266</v>
      </c>
      <c r="F175" s="84">
        <v>0</v>
      </c>
      <c r="G175" s="84">
        <v>569.22545454545445</v>
      </c>
      <c r="H175" s="84">
        <v>789.90545454545463</v>
      </c>
      <c r="I175" s="84"/>
      <c r="J175" s="84">
        <v>0</v>
      </c>
      <c r="K175" s="84">
        <v>7565.468663059688</v>
      </c>
      <c r="L175" s="84">
        <v>0</v>
      </c>
      <c r="M175" s="84">
        <v>562.21884594868209</v>
      </c>
      <c r="N175" s="84">
        <v>780.18249099162847</v>
      </c>
    </row>
    <row r="176" spans="1:14" x14ac:dyDescent="0.25">
      <c r="A176" s="74" t="s">
        <v>1164</v>
      </c>
      <c r="B176" s="74">
        <v>2947</v>
      </c>
      <c r="C176" t="e">
        <f>VLOOKUP(B176,'Waste Lookups'!$B$1:$C$292,2,FALSE)</f>
        <v>#N/A</v>
      </c>
      <c r="D176" s="84">
        <v>10190.181818181818</v>
      </c>
      <c r="E176" s="84">
        <v>1441.3636363636363</v>
      </c>
      <c r="F176" s="84">
        <v>0</v>
      </c>
      <c r="G176" s="84">
        <v>2068.8000000000002</v>
      </c>
      <c r="H176" s="84">
        <v>1812.1745454545458</v>
      </c>
      <c r="I176" s="84"/>
      <c r="J176" s="84">
        <v>7393.0930096815628</v>
      </c>
      <c r="K176" s="84">
        <v>1045.7257401821823</v>
      </c>
      <c r="L176" s="84">
        <v>0</v>
      </c>
      <c r="M176" s="84">
        <v>1500.9379706198604</v>
      </c>
      <c r="N176" s="84">
        <v>1314.7532795163929</v>
      </c>
    </row>
    <row r="177" spans="1:14" x14ac:dyDescent="0.25">
      <c r="A177" s="74" t="s">
        <v>1166</v>
      </c>
      <c r="B177" s="74">
        <v>2963</v>
      </c>
      <c r="C177" t="e">
        <f>VLOOKUP(B177,'Waste Lookups'!$B$1:$C$292,2,FALSE)</f>
        <v>#N/A</v>
      </c>
      <c r="D177" s="84">
        <v>0</v>
      </c>
      <c r="E177" s="84">
        <v>482.79272727272729</v>
      </c>
      <c r="F177" s="84">
        <v>0</v>
      </c>
      <c r="G177" s="84">
        <v>141.37090909090909</v>
      </c>
      <c r="H177" s="84">
        <v>0</v>
      </c>
      <c r="I177" s="84"/>
      <c r="J177" s="84">
        <v>0</v>
      </c>
      <c r="K177" s="84">
        <v>371.18883649392637</v>
      </c>
      <c r="L177" s="84">
        <v>0</v>
      </c>
      <c r="M177" s="84">
        <v>108.69116350607358</v>
      </c>
      <c r="N177" s="84">
        <v>0</v>
      </c>
    </row>
    <row r="178" spans="1:14" x14ac:dyDescent="0.25">
      <c r="A178" s="74" t="s">
        <v>1168</v>
      </c>
      <c r="B178" s="74">
        <v>2964</v>
      </c>
      <c r="C178" t="e">
        <f>VLOOKUP(B178,'Waste Lookups'!$B$1:$C$292,2,FALSE)</f>
        <v>#N/A</v>
      </c>
      <c r="D178" s="84">
        <v>0</v>
      </c>
      <c r="E178" s="84">
        <v>290.82545454545453</v>
      </c>
      <c r="F178" s="84">
        <v>0</v>
      </c>
      <c r="G178" s="84">
        <v>56.356363636363639</v>
      </c>
      <c r="H178" s="84">
        <v>432.12</v>
      </c>
      <c r="I178" s="84"/>
      <c r="J178" s="84">
        <v>0</v>
      </c>
      <c r="K178" s="84">
        <v>145.55419914328908</v>
      </c>
      <c r="L178" s="84">
        <v>0</v>
      </c>
      <c r="M178" s="84">
        <v>28.20559633798085</v>
      </c>
      <c r="N178" s="84">
        <v>216.27020451873005</v>
      </c>
    </row>
    <row r="179" spans="1:14" x14ac:dyDescent="0.25">
      <c r="A179" s="74" t="s">
        <v>667</v>
      </c>
      <c r="B179" s="74">
        <v>2965</v>
      </c>
      <c r="C179" t="str">
        <f>VLOOKUP(B179,'Waste Lookups'!$B$1:$C$292,2,FALSE)</f>
        <v>Appleton House</v>
      </c>
      <c r="D179" s="84">
        <v>0</v>
      </c>
      <c r="E179" s="84">
        <v>5800.2872727272734</v>
      </c>
      <c r="F179" s="84">
        <v>0</v>
      </c>
      <c r="G179" s="84">
        <v>0</v>
      </c>
      <c r="H179" s="84">
        <v>340.00363636363636</v>
      </c>
      <c r="I179" s="84"/>
      <c r="J179" s="84">
        <v>0</v>
      </c>
      <c r="K179" s="84">
        <v>2958.3558728813564</v>
      </c>
      <c r="L179" s="84">
        <v>0</v>
      </c>
      <c r="M179" s="84">
        <v>0</v>
      </c>
      <c r="N179" s="84">
        <v>173.41412711864407</v>
      </c>
    </row>
    <row r="180" spans="1:14" x14ac:dyDescent="0.25">
      <c r="A180" s="74" t="s">
        <v>1171</v>
      </c>
      <c r="B180" s="74">
        <v>2966</v>
      </c>
      <c r="C180" t="e">
        <f>VLOOKUP(B180,'Waste Lookups'!$B$1:$C$292,2,FALSE)</f>
        <v>#N/A</v>
      </c>
      <c r="D180" s="84">
        <v>850.8981818181818</v>
      </c>
      <c r="E180" s="84">
        <v>210.71999999999997</v>
      </c>
      <c r="F180" s="84">
        <v>0</v>
      </c>
      <c r="G180" s="84">
        <v>126.47999999999999</v>
      </c>
      <c r="H180" s="84">
        <v>251.58545454545452</v>
      </c>
      <c r="I180" s="84"/>
      <c r="J180" s="84">
        <v>191.4882512824787</v>
      </c>
      <c r="K180" s="84">
        <v>47.42095490675981</v>
      </c>
      <c r="L180" s="84">
        <v>0</v>
      </c>
      <c r="M180" s="84">
        <v>28.463374983897975</v>
      </c>
      <c r="N180" s="84">
        <v>56.617418826863471</v>
      </c>
    </row>
    <row r="181" spans="1:14" x14ac:dyDescent="0.25">
      <c r="A181" s="74" t="s">
        <v>1173</v>
      </c>
      <c r="B181" s="74">
        <v>2967</v>
      </c>
      <c r="C181" t="e">
        <f>VLOOKUP(B181,'Waste Lookups'!$B$1:$C$292,2,FALSE)</f>
        <v>#N/A</v>
      </c>
      <c r="D181" s="84">
        <v>0</v>
      </c>
      <c r="E181" s="84">
        <v>535.70181818181823</v>
      </c>
      <c r="F181" s="84">
        <v>0</v>
      </c>
      <c r="G181" s="84">
        <v>0</v>
      </c>
      <c r="H181" s="84">
        <v>163.83272727272728</v>
      </c>
      <c r="I181" s="84"/>
      <c r="J181" s="84">
        <v>0</v>
      </c>
      <c r="K181" s="84">
        <v>532.98741407273405</v>
      </c>
      <c r="L181" s="84">
        <v>0</v>
      </c>
      <c r="M181" s="84">
        <v>0</v>
      </c>
      <c r="N181" s="84">
        <v>163.00258592726593</v>
      </c>
    </row>
    <row r="182" spans="1:14" x14ac:dyDescent="0.25">
      <c r="A182" s="74" t="s">
        <v>1175</v>
      </c>
      <c r="B182" s="74">
        <v>2968</v>
      </c>
      <c r="C182" t="e">
        <f>VLOOKUP(B182,'Waste Lookups'!$B$1:$C$292,2,FALSE)</f>
        <v>#N/A</v>
      </c>
      <c r="D182" s="84">
        <v>750.27272727272725</v>
      </c>
      <c r="E182" s="84">
        <v>0</v>
      </c>
      <c r="F182" s="84">
        <v>0</v>
      </c>
      <c r="G182" s="84">
        <v>0</v>
      </c>
      <c r="H182" s="84">
        <v>0</v>
      </c>
      <c r="I182" s="84"/>
      <c r="J182" s="84">
        <v>609.95000000000005</v>
      </c>
      <c r="K182" s="84">
        <v>0</v>
      </c>
      <c r="L182" s="84">
        <v>0</v>
      </c>
      <c r="M182" s="84">
        <v>0</v>
      </c>
      <c r="N182" s="84">
        <v>0</v>
      </c>
    </row>
    <row r="183" spans="1:14" x14ac:dyDescent="0.25">
      <c r="A183" s="74" t="s">
        <v>1177</v>
      </c>
      <c r="B183" s="74">
        <v>2969</v>
      </c>
      <c r="C183" t="e">
        <f>VLOOKUP(B183,'Waste Lookups'!$B$1:$C$292,2,FALSE)</f>
        <v>#N/A</v>
      </c>
      <c r="D183" s="84">
        <v>141.17454545454544</v>
      </c>
      <c r="E183" s="84">
        <v>640.90909090909088</v>
      </c>
      <c r="F183" s="84">
        <v>0</v>
      </c>
      <c r="G183" s="84">
        <v>0</v>
      </c>
      <c r="H183" s="84">
        <v>0</v>
      </c>
      <c r="I183" s="84"/>
      <c r="J183" s="84">
        <v>129.36126208310665</v>
      </c>
      <c r="K183" s="84">
        <v>587.27873791689331</v>
      </c>
      <c r="L183" s="84">
        <v>0</v>
      </c>
      <c r="M183" s="84">
        <v>0</v>
      </c>
      <c r="N183" s="84">
        <v>0</v>
      </c>
    </row>
    <row r="184" spans="1:14" x14ac:dyDescent="0.25">
      <c r="A184" s="74" t="s">
        <v>1179</v>
      </c>
      <c r="B184" s="74">
        <v>2971</v>
      </c>
      <c r="C184" t="e">
        <f>VLOOKUP(B184,'Waste Lookups'!$B$1:$C$292,2,FALSE)</f>
        <v>#N/A</v>
      </c>
      <c r="D184" s="84">
        <v>906.24</v>
      </c>
      <c r="E184" s="84">
        <v>367.18909090909091</v>
      </c>
      <c r="F184" s="84">
        <v>0</v>
      </c>
      <c r="G184" s="84">
        <v>0</v>
      </c>
      <c r="H184" s="84">
        <v>349.9636363636364</v>
      </c>
      <c r="I184" s="84"/>
      <c r="J184" s="84">
        <v>715.87921645577273</v>
      </c>
      <c r="K184" s="84">
        <v>290.05896748224251</v>
      </c>
      <c r="L184" s="84">
        <v>0</v>
      </c>
      <c r="M184" s="84">
        <v>0</v>
      </c>
      <c r="N184" s="84">
        <v>276.45181606198463</v>
      </c>
    </row>
    <row r="185" spans="1:14" x14ac:dyDescent="0.25">
      <c r="A185" s="74" t="s">
        <v>1181</v>
      </c>
      <c r="B185" s="74">
        <v>2972</v>
      </c>
      <c r="C185" t="e">
        <f>VLOOKUP(B185,'Waste Lookups'!$B$1:$C$292,2,FALSE)</f>
        <v>#N/A</v>
      </c>
      <c r="D185" s="84">
        <v>0</v>
      </c>
      <c r="E185" s="84">
        <v>0</v>
      </c>
      <c r="F185" s="84">
        <v>0</v>
      </c>
      <c r="G185" s="84">
        <v>0</v>
      </c>
      <c r="H185" s="84">
        <v>0</v>
      </c>
      <c r="I185" s="84"/>
      <c r="J185" s="84">
        <v>0</v>
      </c>
      <c r="K185" s="84">
        <v>0</v>
      </c>
      <c r="L185" s="84">
        <v>0</v>
      </c>
      <c r="M185" s="84">
        <v>0</v>
      </c>
      <c r="N185" s="84">
        <v>0</v>
      </c>
    </row>
    <row r="186" spans="1:14" x14ac:dyDescent="0.25">
      <c r="A186" s="74" t="s">
        <v>1183</v>
      </c>
      <c r="B186" s="74">
        <v>2973</v>
      </c>
      <c r="C186" t="e">
        <f>VLOOKUP(B186,'Waste Lookups'!$B$1:$C$292,2,FALSE)</f>
        <v>#N/A</v>
      </c>
      <c r="D186" s="84">
        <v>446.22545454545457</v>
      </c>
      <c r="E186" s="84">
        <v>1109.8363636363636</v>
      </c>
      <c r="F186" s="84">
        <v>0</v>
      </c>
      <c r="G186" s="84">
        <v>157.61454545454544</v>
      </c>
      <c r="H186" s="84">
        <v>331.56</v>
      </c>
      <c r="I186" s="84"/>
      <c r="J186" s="84">
        <v>322.04154683166206</v>
      </c>
      <c r="K186" s="84">
        <v>800.97048618519307</v>
      </c>
      <c r="L186" s="84">
        <v>0</v>
      </c>
      <c r="M186" s="84">
        <v>113.75064220183486</v>
      </c>
      <c r="N186" s="84">
        <v>239.28732478131002</v>
      </c>
    </row>
    <row r="187" spans="1:14" x14ac:dyDescent="0.25">
      <c r="A187" s="74" t="s">
        <v>1185</v>
      </c>
      <c r="B187" s="74">
        <v>2974</v>
      </c>
      <c r="C187" t="e">
        <f>VLOOKUP(B187,'Waste Lookups'!$B$1:$C$292,2,FALSE)</f>
        <v>#N/A</v>
      </c>
      <c r="D187" s="84">
        <v>0</v>
      </c>
      <c r="E187" s="84">
        <v>0</v>
      </c>
      <c r="F187" s="84">
        <v>0</v>
      </c>
      <c r="G187" s="84">
        <v>0</v>
      </c>
      <c r="H187" s="84">
        <v>0</v>
      </c>
      <c r="I187" s="84"/>
      <c r="J187" s="84">
        <v>0</v>
      </c>
      <c r="K187" s="84">
        <v>0</v>
      </c>
      <c r="L187" s="84">
        <v>0</v>
      </c>
      <c r="M187" s="84">
        <v>0</v>
      </c>
      <c r="N187" s="84">
        <v>0</v>
      </c>
    </row>
    <row r="188" spans="1:14" x14ac:dyDescent="0.25">
      <c r="A188" s="74" t="s">
        <v>1187</v>
      </c>
      <c r="B188" s="74">
        <v>2975</v>
      </c>
      <c r="C188" t="e">
        <f>VLOOKUP(B188,'Waste Lookups'!$B$1:$C$292,2,FALSE)</f>
        <v>#N/A</v>
      </c>
      <c r="D188" s="84">
        <v>0</v>
      </c>
      <c r="E188" s="84">
        <v>316.14545454545458</v>
      </c>
      <c r="F188" s="84">
        <v>0</v>
      </c>
      <c r="G188" s="84">
        <v>60.480000000000004</v>
      </c>
      <c r="H188" s="84">
        <v>0</v>
      </c>
      <c r="I188" s="84"/>
      <c r="J188" s="84">
        <v>0</v>
      </c>
      <c r="K188" s="84">
        <v>384.83868613138685</v>
      </c>
      <c r="L188" s="84">
        <v>0</v>
      </c>
      <c r="M188" s="84">
        <v>73.621313868613129</v>
      </c>
      <c r="N188" s="84">
        <v>0</v>
      </c>
    </row>
    <row r="189" spans="1:14" x14ac:dyDescent="0.25">
      <c r="A189" s="74" t="s">
        <v>1189</v>
      </c>
      <c r="B189" s="74">
        <v>2976</v>
      </c>
      <c r="C189" t="e">
        <f>VLOOKUP(B189,'Waste Lookups'!$B$1:$C$292,2,FALSE)</f>
        <v>#N/A</v>
      </c>
      <c r="D189" s="84">
        <v>570.33818181818174</v>
      </c>
      <c r="E189" s="84">
        <v>257.47636363636366</v>
      </c>
      <c r="F189" s="84">
        <v>0</v>
      </c>
      <c r="G189" s="84">
        <v>0</v>
      </c>
      <c r="H189" s="84">
        <v>20.945454545454545</v>
      </c>
      <c r="I189" s="84"/>
      <c r="J189" s="84">
        <v>895.43551482590635</v>
      </c>
      <c r="K189" s="84">
        <v>404.23995372929079</v>
      </c>
      <c r="L189" s="84">
        <v>0</v>
      </c>
      <c r="M189" s="84">
        <v>0</v>
      </c>
      <c r="N189" s="84">
        <v>32.884531444802903</v>
      </c>
    </row>
    <row r="190" spans="1:14" x14ac:dyDescent="0.25">
      <c r="A190" s="74" t="s">
        <v>1191</v>
      </c>
      <c r="B190" s="74">
        <v>2977</v>
      </c>
      <c r="C190" t="e">
        <f>VLOOKUP(B190,'Waste Lookups'!$B$1:$C$292,2,FALSE)</f>
        <v>#N/A</v>
      </c>
      <c r="D190" s="84">
        <v>396.86181818181819</v>
      </c>
      <c r="E190" s="84">
        <v>399.24</v>
      </c>
      <c r="F190" s="84">
        <v>0</v>
      </c>
      <c r="G190" s="84">
        <v>127.97454545454545</v>
      </c>
      <c r="H190" s="84">
        <v>621.48</v>
      </c>
      <c r="I190" s="84"/>
      <c r="J190" s="84">
        <v>404.58400695954151</v>
      </c>
      <c r="K190" s="84">
        <v>407.00846374827074</v>
      </c>
      <c r="L190" s="84">
        <v>0</v>
      </c>
      <c r="M190" s="84">
        <v>130.46469077331378</v>
      </c>
      <c r="N190" s="84">
        <v>633.57283851887416</v>
      </c>
    </row>
    <row r="191" spans="1:14" x14ac:dyDescent="0.25">
      <c r="A191" s="74" t="s">
        <v>1193</v>
      </c>
      <c r="B191" s="74">
        <v>2979</v>
      </c>
      <c r="C191" t="e">
        <f>VLOOKUP(B191,'Waste Lookups'!$B$1:$C$292,2,FALSE)</f>
        <v>#N/A</v>
      </c>
      <c r="D191" s="84">
        <v>985.61454545454558</v>
      </c>
      <c r="E191" s="84">
        <v>485.52</v>
      </c>
      <c r="F191" s="84">
        <v>0</v>
      </c>
      <c r="G191" s="84">
        <v>0</v>
      </c>
      <c r="H191" s="84">
        <v>329.73818181818183</v>
      </c>
      <c r="I191" s="84"/>
      <c r="J191" s="84">
        <v>1213.0483259025928</v>
      </c>
      <c r="K191" s="84">
        <v>597.55532820450685</v>
      </c>
      <c r="L191" s="84">
        <v>0</v>
      </c>
      <c r="M191" s="84">
        <v>0</v>
      </c>
      <c r="N191" s="84">
        <v>405.82634589290041</v>
      </c>
    </row>
    <row r="192" spans="1:14" x14ac:dyDescent="0.25">
      <c r="A192" s="74" t="s">
        <v>1195</v>
      </c>
      <c r="B192" s="74">
        <v>2980</v>
      </c>
      <c r="C192" t="e">
        <f>VLOOKUP(B192,'Waste Lookups'!$B$1:$C$292,2,FALSE)</f>
        <v>#N/A</v>
      </c>
      <c r="D192" s="84">
        <v>0</v>
      </c>
      <c r="E192" s="84">
        <v>651.79636363636371</v>
      </c>
      <c r="F192" s="84">
        <v>0</v>
      </c>
      <c r="G192" s="84">
        <v>0</v>
      </c>
      <c r="H192" s="84">
        <v>248.68363636363637</v>
      </c>
      <c r="I192" s="84"/>
      <c r="J192" s="84">
        <v>0</v>
      </c>
      <c r="K192" s="84">
        <v>736.10833107191331</v>
      </c>
      <c r="L192" s="84">
        <v>0</v>
      </c>
      <c r="M192" s="84">
        <v>0</v>
      </c>
      <c r="N192" s="84">
        <v>280.85166892808689</v>
      </c>
    </row>
    <row r="193" spans="1:14" x14ac:dyDescent="0.25">
      <c r="A193" s="74" t="s">
        <v>1197</v>
      </c>
      <c r="B193" s="74">
        <v>2981</v>
      </c>
      <c r="C193" t="e">
        <f>VLOOKUP(B193,'Waste Lookups'!$B$1:$C$292,2,FALSE)</f>
        <v>#N/A</v>
      </c>
      <c r="D193" s="84">
        <v>65.825454545454548</v>
      </c>
      <c r="E193" s="84">
        <v>18.403636363636366</v>
      </c>
      <c r="F193" s="84">
        <v>0</v>
      </c>
      <c r="G193" s="84">
        <v>0</v>
      </c>
      <c r="H193" s="84">
        <v>0</v>
      </c>
      <c r="I193" s="84"/>
      <c r="J193" s="84">
        <v>270.03341795104257</v>
      </c>
      <c r="K193" s="84">
        <v>75.496582048957393</v>
      </c>
      <c r="L193" s="84">
        <v>0</v>
      </c>
      <c r="M193" s="84">
        <v>0</v>
      </c>
      <c r="N193" s="84">
        <v>0</v>
      </c>
    </row>
    <row r="194" spans="1:14" x14ac:dyDescent="0.25">
      <c r="A194" s="74" t="s">
        <v>1199</v>
      </c>
      <c r="B194" s="74">
        <v>2982</v>
      </c>
      <c r="C194" t="e">
        <f>VLOOKUP(B194,'Waste Lookups'!$B$1:$C$292,2,FALSE)</f>
        <v>#N/A</v>
      </c>
      <c r="D194" s="84">
        <v>1303.0036363636364</v>
      </c>
      <c r="E194" s="84">
        <v>369.96</v>
      </c>
      <c r="F194" s="84">
        <v>0</v>
      </c>
      <c r="G194" s="84">
        <v>0</v>
      </c>
      <c r="H194" s="84">
        <v>133.46181818181819</v>
      </c>
      <c r="I194" s="84"/>
      <c r="J194" s="84">
        <v>354.19502309936047</v>
      </c>
      <c r="K194" s="84">
        <v>100.56609750647686</v>
      </c>
      <c r="L194" s="84">
        <v>0</v>
      </c>
      <c r="M194" s="84">
        <v>0</v>
      </c>
      <c r="N194" s="84">
        <v>36.278879394162658</v>
      </c>
    </row>
    <row r="195" spans="1:14" x14ac:dyDescent="0.25">
      <c r="A195" s="74" t="s">
        <v>1201</v>
      </c>
      <c r="B195" s="74">
        <v>2983</v>
      </c>
      <c r="C195" t="e">
        <f>VLOOKUP(B195,'Waste Lookups'!$B$1:$C$292,2,FALSE)</f>
        <v>#N/A</v>
      </c>
      <c r="D195" s="84">
        <v>0</v>
      </c>
      <c r="E195" s="84">
        <v>1996.7454545454543</v>
      </c>
      <c r="F195" s="84">
        <v>0</v>
      </c>
      <c r="G195" s="84">
        <v>1026.9054545454546</v>
      </c>
      <c r="H195" s="84">
        <v>994.21090909090913</v>
      </c>
      <c r="I195" s="84"/>
      <c r="J195" s="84">
        <v>0</v>
      </c>
      <c r="K195" s="84">
        <v>1289.2272868337025</v>
      </c>
      <c r="L195" s="84">
        <v>0</v>
      </c>
      <c r="M195" s="84">
        <v>663.03620723641336</v>
      </c>
      <c r="N195" s="84">
        <v>641.926505929884</v>
      </c>
    </row>
    <row r="196" spans="1:14" x14ac:dyDescent="0.25">
      <c r="A196" s="74" t="s">
        <v>1203</v>
      </c>
      <c r="B196" s="74">
        <v>2985</v>
      </c>
      <c r="C196" t="e">
        <f>VLOOKUP(B196,'Waste Lookups'!$B$1:$C$292,2,FALSE)</f>
        <v>#N/A</v>
      </c>
      <c r="D196" s="84">
        <v>0</v>
      </c>
      <c r="E196" s="84">
        <v>230.66181818181821</v>
      </c>
      <c r="F196" s="84">
        <v>0</v>
      </c>
      <c r="G196" s="84">
        <v>0</v>
      </c>
      <c r="H196" s="84">
        <v>0</v>
      </c>
      <c r="I196" s="84"/>
      <c r="J196" s="84">
        <v>0</v>
      </c>
      <c r="K196" s="84">
        <v>221.76</v>
      </c>
      <c r="L196" s="84">
        <v>0</v>
      </c>
      <c r="M196" s="84">
        <v>0</v>
      </c>
      <c r="N196" s="84">
        <v>0</v>
      </c>
    </row>
    <row r="197" spans="1:14" x14ac:dyDescent="0.25">
      <c r="A197" s="74" t="s">
        <v>1205</v>
      </c>
      <c r="B197" s="74">
        <v>2986</v>
      </c>
      <c r="C197" t="e">
        <f>VLOOKUP(B197,'Waste Lookups'!$B$1:$C$292,2,FALSE)</f>
        <v>#N/A</v>
      </c>
      <c r="D197" s="84">
        <v>347.44363636363636</v>
      </c>
      <c r="E197" s="84">
        <v>342.25090909090909</v>
      </c>
      <c r="F197" s="84">
        <v>0</v>
      </c>
      <c r="G197" s="84">
        <v>0</v>
      </c>
      <c r="H197" s="84">
        <v>56.269090909090906</v>
      </c>
      <c r="I197" s="84"/>
      <c r="J197" s="84">
        <v>376.59416422930678</v>
      </c>
      <c r="K197" s="84">
        <v>370.96576703714533</v>
      </c>
      <c r="L197" s="84">
        <v>0</v>
      </c>
      <c r="M197" s="84">
        <v>0</v>
      </c>
      <c r="N197" s="84">
        <v>60.990068733547808</v>
      </c>
    </row>
    <row r="198" spans="1:14" x14ac:dyDescent="0.25">
      <c r="A198" s="74" t="s">
        <v>1207</v>
      </c>
      <c r="B198" s="74">
        <v>2987</v>
      </c>
      <c r="C198" t="e">
        <f>VLOOKUP(B198,'Waste Lookups'!$B$1:$C$292,2,FALSE)</f>
        <v>#N/A</v>
      </c>
      <c r="D198" s="84">
        <v>0</v>
      </c>
      <c r="E198" s="84">
        <v>469.30909090909091</v>
      </c>
      <c r="F198" s="84">
        <v>0</v>
      </c>
      <c r="G198" s="84">
        <v>0</v>
      </c>
      <c r="H198" s="84">
        <v>30.927272727272729</v>
      </c>
      <c r="I198" s="84"/>
      <c r="J198" s="84">
        <v>0</v>
      </c>
      <c r="K198" s="84">
        <v>474.74453385672223</v>
      </c>
      <c r="L198" s="84">
        <v>0</v>
      </c>
      <c r="M198" s="84">
        <v>0</v>
      </c>
      <c r="N198" s="84">
        <v>31.285466143277723</v>
      </c>
    </row>
    <row r="199" spans="1:14" x14ac:dyDescent="0.25">
      <c r="A199" s="74" t="s">
        <v>1209</v>
      </c>
      <c r="B199" s="74">
        <v>2988</v>
      </c>
      <c r="C199" t="e">
        <f>VLOOKUP(B199,'Waste Lookups'!$B$1:$C$292,2,FALSE)</f>
        <v>#N/A</v>
      </c>
      <c r="D199" s="84">
        <v>1224.9381818181816</v>
      </c>
      <c r="E199" s="84">
        <v>314.36727272727273</v>
      </c>
      <c r="F199" s="84">
        <v>0</v>
      </c>
      <c r="G199" s="84">
        <v>0</v>
      </c>
      <c r="H199" s="84">
        <v>1449.72</v>
      </c>
      <c r="I199" s="84"/>
      <c r="J199" s="84">
        <v>758.1356108527923</v>
      </c>
      <c r="K199" s="84">
        <v>194.56738950487966</v>
      </c>
      <c r="L199" s="84">
        <v>0</v>
      </c>
      <c r="M199" s="84">
        <v>0</v>
      </c>
      <c r="N199" s="84">
        <v>897.25699964232797</v>
      </c>
    </row>
    <row r="200" spans="1:14" x14ac:dyDescent="0.25">
      <c r="A200" s="74" t="s">
        <v>1211</v>
      </c>
      <c r="B200" s="74">
        <v>2989</v>
      </c>
      <c r="C200" t="e">
        <f>VLOOKUP(B200,'Waste Lookups'!$B$1:$C$292,2,FALSE)</f>
        <v>#N/A</v>
      </c>
      <c r="D200" s="84">
        <v>0</v>
      </c>
      <c r="E200" s="84">
        <v>0</v>
      </c>
      <c r="F200" s="84">
        <v>0</v>
      </c>
      <c r="G200" s="84">
        <v>123.27272727272728</v>
      </c>
      <c r="H200" s="84">
        <v>574.4727272727273</v>
      </c>
      <c r="I200" s="84"/>
      <c r="J200" s="84">
        <v>0</v>
      </c>
      <c r="K200" s="84">
        <v>0</v>
      </c>
      <c r="L200" s="84">
        <v>0</v>
      </c>
      <c r="M200" s="84">
        <v>75.138993120700448</v>
      </c>
      <c r="N200" s="84">
        <v>350.16100687929958</v>
      </c>
    </row>
    <row r="201" spans="1:14" x14ac:dyDescent="0.25">
      <c r="A201" s="74" t="s">
        <v>1213</v>
      </c>
      <c r="B201" s="74">
        <v>2990</v>
      </c>
      <c r="C201" t="e">
        <f>VLOOKUP(B201,'Waste Lookups'!$B$1:$C$292,2,FALSE)</f>
        <v>#N/A</v>
      </c>
      <c r="D201" s="84">
        <v>0</v>
      </c>
      <c r="E201" s="84">
        <v>0</v>
      </c>
      <c r="F201" s="84">
        <v>0</v>
      </c>
      <c r="G201" s="84">
        <v>0</v>
      </c>
      <c r="H201" s="84">
        <v>0</v>
      </c>
      <c r="I201" s="84"/>
      <c r="J201" s="84">
        <v>0</v>
      </c>
      <c r="K201" s="84">
        <v>0</v>
      </c>
      <c r="L201" s="84">
        <v>0</v>
      </c>
      <c r="M201" s="84">
        <v>0</v>
      </c>
      <c r="N201" s="84">
        <v>0</v>
      </c>
    </row>
    <row r="202" spans="1:14" x14ac:dyDescent="0.25">
      <c r="A202" s="74" t="s">
        <v>1215</v>
      </c>
      <c r="B202" s="74">
        <v>2992</v>
      </c>
      <c r="C202" t="e">
        <f>VLOOKUP(B202,'Waste Lookups'!$B$1:$C$292,2,FALSE)</f>
        <v>#N/A</v>
      </c>
      <c r="D202" s="84">
        <v>744.03272727272724</v>
      </c>
      <c r="E202" s="84">
        <v>183.38181818181818</v>
      </c>
      <c r="F202" s="84">
        <v>0</v>
      </c>
      <c r="G202" s="84">
        <v>0</v>
      </c>
      <c r="H202" s="84">
        <v>258.08727272727276</v>
      </c>
      <c r="I202" s="84"/>
      <c r="J202" s="84">
        <v>964.76200274222174</v>
      </c>
      <c r="K202" s="84">
        <v>237.78498403437897</v>
      </c>
      <c r="L202" s="84">
        <v>0</v>
      </c>
      <c r="M202" s="84">
        <v>0</v>
      </c>
      <c r="N202" s="84">
        <v>334.65301322339906</v>
      </c>
    </row>
    <row r="203" spans="1:14" x14ac:dyDescent="0.25">
      <c r="A203" s="74" t="s">
        <v>1217</v>
      </c>
      <c r="B203" s="74">
        <v>2993</v>
      </c>
      <c r="C203" t="e">
        <f>VLOOKUP(B203,'Waste Lookups'!$B$1:$C$292,2,FALSE)</f>
        <v>#N/A</v>
      </c>
      <c r="D203" s="84">
        <v>1183.1999999999998</v>
      </c>
      <c r="E203" s="84">
        <v>0</v>
      </c>
      <c r="F203" s="84">
        <v>0</v>
      </c>
      <c r="G203" s="84">
        <v>0</v>
      </c>
      <c r="H203" s="84">
        <v>0</v>
      </c>
      <c r="I203" s="84"/>
      <c r="J203" s="84">
        <v>890.63</v>
      </c>
      <c r="K203" s="84">
        <v>0</v>
      </c>
      <c r="L203" s="84">
        <v>0</v>
      </c>
      <c r="M203" s="84">
        <v>0</v>
      </c>
      <c r="N203" s="84">
        <v>0</v>
      </c>
    </row>
    <row r="204" spans="1:14" x14ac:dyDescent="0.25">
      <c r="A204" s="74" t="s">
        <v>1219</v>
      </c>
      <c r="B204" s="74">
        <v>2994</v>
      </c>
      <c r="C204" t="e">
        <f>VLOOKUP(B204,'Waste Lookups'!$B$1:$C$292,2,FALSE)</f>
        <v>#N/A</v>
      </c>
      <c r="D204" s="84">
        <v>0</v>
      </c>
      <c r="E204" s="84">
        <v>0</v>
      </c>
      <c r="F204" s="84">
        <v>0</v>
      </c>
      <c r="G204" s="84">
        <v>0</v>
      </c>
      <c r="H204" s="84">
        <v>0</v>
      </c>
      <c r="I204" s="84"/>
      <c r="J204" s="84">
        <v>0</v>
      </c>
      <c r="K204" s="84">
        <v>0</v>
      </c>
      <c r="L204" s="84">
        <v>0</v>
      </c>
      <c r="M204" s="84">
        <v>0</v>
      </c>
      <c r="N204" s="84">
        <v>0</v>
      </c>
    </row>
    <row r="205" spans="1:14" x14ac:dyDescent="0.25">
      <c r="A205" s="74" t="s">
        <v>1221</v>
      </c>
      <c r="B205" s="74">
        <v>2995</v>
      </c>
      <c r="C205" t="e">
        <f>VLOOKUP(B205,'Waste Lookups'!$B$1:$C$292,2,FALSE)</f>
        <v>#N/A</v>
      </c>
      <c r="D205" s="84">
        <v>0</v>
      </c>
      <c r="E205" s="84">
        <v>0</v>
      </c>
      <c r="F205" s="84">
        <v>0</v>
      </c>
      <c r="G205" s="84">
        <v>0</v>
      </c>
      <c r="H205" s="84">
        <v>0</v>
      </c>
      <c r="I205" s="84"/>
      <c r="J205" s="84">
        <v>0</v>
      </c>
      <c r="K205" s="84">
        <v>0</v>
      </c>
      <c r="L205" s="84">
        <v>0</v>
      </c>
      <c r="M205" s="84">
        <v>0</v>
      </c>
      <c r="N205" s="84">
        <v>0</v>
      </c>
    </row>
    <row r="206" spans="1:14" x14ac:dyDescent="0.25">
      <c r="A206" s="74" t="s">
        <v>1223</v>
      </c>
      <c r="B206" s="74">
        <v>2996</v>
      </c>
      <c r="C206" t="e">
        <f>VLOOKUP(B206,'Waste Lookups'!$B$1:$C$292,2,FALSE)</f>
        <v>#N/A</v>
      </c>
      <c r="D206" s="84">
        <v>129.66545454545454</v>
      </c>
      <c r="E206" s="84">
        <v>374.13818181818181</v>
      </c>
      <c r="F206" s="84">
        <v>0</v>
      </c>
      <c r="G206" s="84">
        <v>0</v>
      </c>
      <c r="H206" s="84">
        <v>0</v>
      </c>
      <c r="I206" s="84"/>
      <c r="J206" s="84">
        <v>131.30655839937637</v>
      </c>
      <c r="K206" s="84">
        <v>378.87344160062366</v>
      </c>
      <c r="L206" s="84">
        <v>0</v>
      </c>
      <c r="M206" s="84">
        <v>0</v>
      </c>
      <c r="N206" s="84">
        <v>0</v>
      </c>
    </row>
    <row r="207" spans="1:14" x14ac:dyDescent="0.25">
      <c r="A207" s="74" t="s">
        <v>1225</v>
      </c>
      <c r="B207" s="74">
        <v>2997</v>
      </c>
      <c r="C207" t="e">
        <f>VLOOKUP(B207,'Waste Lookups'!$B$1:$C$292,2,FALSE)</f>
        <v>#N/A</v>
      </c>
      <c r="D207" s="84">
        <v>1497.8836363636362</v>
      </c>
      <c r="E207" s="84">
        <v>0</v>
      </c>
      <c r="F207" s="84">
        <v>0</v>
      </c>
      <c r="G207" s="84">
        <v>0</v>
      </c>
      <c r="H207" s="84">
        <v>0</v>
      </c>
      <c r="I207" s="84"/>
      <c r="J207" s="84">
        <v>117.02</v>
      </c>
      <c r="K207" s="84">
        <v>0</v>
      </c>
      <c r="L207" s="84">
        <v>0</v>
      </c>
      <c r="M207" s="84">
        <v>0</v>
      </c>
      <c r="N207" s="84">
        <v>0</v>
      </c>
    </row>
    <row r="208" spans="1:14" x14ac:dyDescent="0.25">
      <c r="A208" s="74" t="s">
        <v>1227</v>
      </c>
      <c r="B208" s="74">
        <v>2999</v>
      </c>
      <c r="C208" t="e">
        <f>VLOOKUP(B208,'Waste Lookups'!$B$1:$C$292,2,FALSE)</f>
        <v>#N/A</v>
      </c>
      <c r="D208" s="84">
        <v>242.95636363636362</v>
      </c>
      <c r="E208" s="84">
        <v>0</v>
      </c>
      <c r="F208" s="84">
        <v>0</v>
      </c>
      <c r="G208" s="84">
        <v>0</v>
      </c>
      <c r="H208" s="84">
        <v>0</v>
      </c>
      <c r="I208" s="84"/>
      <c r="J208" s="84">
        <v>2610.9</v>
      </c>
      <c r="K208" s="84">
        <v>0</v>
      </c>
      <c r="L208" s="84">
        <v>0</v>
      </c>
      <c r="M208" s="84">
        <v>0</v>
      </c>
      <c r="N208" s="84">
        <v>0</v>
      </c>
    </row>
    <row r="209" spans="1:14" x14ac:dyDescent="0.25">
      <c r="A209" s="74" t="s">
        <v>765</v>
      </c>
      <c r="B209" s="74">
        <v>3000</v>
      </c>
      <c r="C209" t="str">
        <f>VLOOKUP(B209,'Waste Lookups'!$B$1:$C$292,2,FALSE)</f>
        <v>Sedgefield Community Hospital</v>
      </c>
      <c r="D209" s="84">
        <v>1819.6036363636363</v>
      </c>
      <c r="E209" s="84">
        <v>2779.0145454545454</v>
      </c>
      <c r="F209" s="84">
        <v>0</v>
      </c>
      <c r="G209" s="84">
        <v>267.27272727272725</v>
      </c>
      <c r="H209" s="84">
        <v>160.60363636363635</v>
      </c>
      <c r="I209" s="84"/>
      <c r="J209" s="84">
        <v>1672.7918734183811</v>
      </c>
      <c r="K209" s="84">
        <v>2554.7942721404984</v>
      </c>
      <c r="L209" s="84">
        <v>0</v>
      </c>
      <c r="M209" s="84">
        <v>245.70826153198399</v>
      </c>
      <c r="N209" s="84">
        <v>147.64559290913749</v>
      </c>
    </row>
    <row r="210" spans="1:14" x14ac:dyDescent="0.25">
      <c r="A210" s="74" t="s">
        <v>1230</v>
      </c>
      <c r="B210" s="74">
        <v>3001</v>
      </c>
      <c r="C210" t="e">
        <f>VLOOKUP(B210,'Waste Lookups'!$B$1:$C$292,2,FALSE)</f>
        <v>#N/A</v>
      </c>
      <c r="D210" s="84">
        <v>887.34545454545446</v>
      </c>
      <c r="E210" s="84">
        <v>434.94545454545448</v>
      </c>
      <c r="F210" s="84">
        <v>0</v>
      </c>
      <c r="G210" s="84">
        <v>143.76</v>
      </c>
      <c r="H210" s="84">
        <v>121.10181818181817</v>
      </c>
      <c r="I210" s="84"/>
      <c r="J210" s="84">
        <v>996.24154540893153</v>
      </c>
      <c r="K210" s="84">
        <v>488.32247867536381</v>
      </c>
      <c r="L210" s="84">
        <v>0</v>
      </c>
      <c r="M210" s="84">
        <v>161.40239839438036</v>
      </c>
      <c r="N210" s="84">
        <v>135.96357752132465</v>
      </c>
    </row>
    <row r="211" spans="1:14" x14ac:dyDescent="0.25">
      <c r="A211" s="74" t="s">
        <v>1232</v>
      </c>
      <c r="B211" s="74">
        <v>3002</v>
      </c>
      <c r="C211" t="e">
        <f>VLOOKUP(B211,'Waste Lookups'!$B$1:$C$292,2,FALSE)</f>
        <v>#N/A</v>
      </c>
      <c r="D211" s="84">
        <v>19.636363636363637</v>
      </c>
      <c r="E211" s="84">
        <v>13700.618181818183</v>
      </c>
      <c r="F211" s="84">
        <v>0</v>
      </c>
      <c r="G211" s="84">
        <v>0</v>
      </c>
      <c r="H211" s="84">
        <v>0</v>
      </c>
      <c r="I211" s="84"/>
      <c r="J211" s="84">
        <v>17.274956467810028</v>
      </c>
      <c r="K211" s="84">
        <v>12053.025043532189</v>
      </c>
      <c r="L211" s="84">
        <v>0</v>
      </c>
      <c r="M211" s="84">
        <v>0</v>
      </c>
      <c r="N211" s="84">
        <v>0</v>
      </c>
    </row>
    <row r="212" spans="1:14" x14ac:dyDescent="0.25">
      <c r="A212" s="74" t="s">
        <v>1234</v>
      </c>
      <c r="B212" s="74">
        <v>3003</v>
      </c>
      <c r="C212" t="e">
        <f>VLOOKUP(B212,'Waste Lookups'!$B$1:$C$292,2,FALSE)</f>
        <v>#N/A</v>
      </c>
      <c r="D212" s="84">
        <v>18.403636363636366</v>
      </c>
      <c r="E212" s="84">
        <v>0</v>
      </c>
      <c r="F212" s="84">
        <v>0</v>
      </c>
      <c r="G212" s="84">
        <v>0</v>
      </c>
      <c r="H212" s="84">
        <v>0</v>
      </c>
      <c r="I212" s="84"/>
      <c r="J212" s="84">
        <v>0</v>
      </c>
      <c r="K212" s="84">
        <v>0</v>
      </c>
      <c r="L212" s="84">
        <v>0</v>
      </c>
      <c r="M212" s="84">
        <v>0</v>
      </c>
      <c r="N212" s="84">
        <v>0</v>
      </c>
    </row>
    <row r="213" spans="1:14" x14ac:dyDescent="0.25">
      <c r="A213" s="74" t="s">
        <v>1236</v>
      </c>
      <c r="B213" s="74">
        <v>3005</v>
      </c>
      <c r="C213" t="e">
        <f>VLOOKUP(B213,'Waste Lookups'!$B$1:$C$292,2,FALSE)</f>
        <v>#N/A</v>
      </c>
      <c r="D213" s="84">
        <v>1630.4072727272728</v>
      </c>
      <c r="E213" s="84">
        <v>285.73090909090911</v>
      </c>
      <c r="F213" s="84">
        <v>0</v>
      </c>
      <c r="G213" s="84">
        <v>102.2290909090909</v>
      </c>
      <c r="H213" s="84">
        <v>337.59272727272725</v>
      </c>
      <c r="I213" s="84"/>
      <c r="J213" s="84">
        <v>1780.6481167607417</v>
      </c>
      <c r="K213" s="84">
        <v>312.06080448965798</v>
      </c>
      <c r="L213" s="84">
        <v>0</v>
      </c>
      <c r="M213" s="84">
        <v>111.64942726300339</v>
      </c>
      <c r="N213" s="84">
        <v>368.70165148659726</v>
      </c>
    </row>
    <row r="214" spans="1:14" x14ac:dyDescent="0.25">
      <c r="A214" s="74" t="s">
        <v>1238</v>
      </c>
      <c r="B214" s="74">
        <v>3006</v>
      </c>
      <c r="C214" t="e">
        <f>VLOOKUP(B214,'Waste Lookups'!$B$1:$C$292,2,FALSE)</f>
        <v>#N/A</v>
      </c>
      <c r="D214" s="84">
        <v>0</v>
      </c>
      <c r="E214" s="84">
        <v>399.46909090909094</v>
      </c>
      <c r="F214" s="84">
        <v>0</v>
      </c>
      <c r="G214" s="84">
        <v>17.781818181818181</v>
      </c>
      <c r="H214" s="84">
        <v>0</v>
      </c>
      <c r="I214" s="84"/>
      <c r="J214" s="84">
        <v>0</v>
      </c>
      <c r="K214" s="84">
        <v>602.96006065676636</v>
      </c>
      <c r="L214" s="84">
        <v>0</v>
      </c>
      <c r="M214" s="84">
        <v>26.839939343233631</v>
      </c>
      <c r="N214" s="84">
        <v>0</v>
      </c>
    </row>
    <row r="215" spans="1:14" x14ac:dyDescent="0.25">
      <c r="A215" s="74" t="s">
        <v>1240</v>
      </c>
      <c r="B215" s="74">
        <v>3007</v>
      </c>
      <c r="C215" t="e">
        <f>VLOOKUP(B215,'Waste Lookups'!$B$1:$C$292,2,FALSE)</f>
        <v>#N/A</v>
      </c>
      <c r="D215" s="84">
        <v>396.99272727272728</v>
      </c>
      <c r="E215" s="84">
        <v>255.68727272727273</v>
      </c>
      <c r="F215" s="84">
        <v>0</v>
      </c>
      <c r="G215" s="84">
        <v>131.08363636363637</v>
      </c>
      <c r="H215" s="84">
        <v>0</v>
      </c>
      <c r="I215" s="84"/>
      <c r="J215" s="84">
        <v>572.73847073561137</v>
      </c>
      <c r="K215" s="84">
        <v>368.87813682232576</v>
      </c>
      <c r="L215" s="84">
        <v>0</v>
      </c>
      <c r="M215" s="84">
        <v>189.11339244206275</v>
      </c>
      <c r="N215" s="84">
        <v>0</v>
      </c>
    </row>
    <row r="216" spans="1:14" x14ac:dyDescent="0.25">
      <c r="A216" s="74" t="s">
        <v>1242</v>
      </c>
      <c r="B216" s="74">
        <v>3008</v>
      </c>
      <c r="C216" t="e">
        <f>VLOOKUP(B216,'Waste Lookups'!$B$1:$C$292,2,FALSE)</f>
        <v>#N/A</v>
      </c>
      <c r="D216" s="84">
        <v>3993.1418181818181</v>
      </c>
      <c r="E216" s="84">
        <v>958.27636363636361</v>
      </c>
      <c r="F216" s="84">
        <v>0</v>
      </c>
      <c r="G216" s="84">
        <v>52.832727272727269</v>
      </c>
      <c r="H216" s="84">
        <v>299.36727272727273</v>
      </c>
      <c r="I216" s="84"/>
      <c r="J216" s="84">
        <v>3847.560704452193</v>
      </c>
      <c r="K216" s="84">
        <v>923.33972811699743</v>
      </c>
      <c r="L216" s="84">
        <v>0</v>
      </c>
      <c r="M216" s="84">
        <v>50.906562957020768</v>
      </c>
      <c r="N216" s="84">
        <v>288.4530044737898</v>
      </c>
    </row>
    <row r="217" spans="1:14" x14ac:dyDescent="0.25">
      <c r="A217" s="74" t="s">
        <v>1244</v>
      </c>
      <c r="B217" s="74">
        <v>3010</v>
      </c>
      <c r="C217" t="e">
        <f>VLOOKUP(B217,'Waste Lookups'!$B$1:$C$292,2,FALSE)</f>
        <v>#N/A</v>
      </c>
      <c r="D217" s="84">
        <v>0</v>
      </c>
      <c r="E217" s="84">
        <v>0</v>
      </c>
      <c r="F217" s="84">
        <v>0</v>
      </c>
      <c r="G217" s="84">
        <v>0</v>
      </c>
      <c r="H217" s="84">
        <v>0</v>
      </c>
      <c r="I217" s="84"/>
      <c r="J217" s="84">
        <v>0</v>
      </c>
      <c r="K217" s="84">
        <v>0</v>
      </c>
      <c r="L217" s="84">
        <v>0</v>
      </c>
      <c r="M217" s="84">
        <v>0</v>
      </c>
      <c r="N217" s="84">
        <v>0</v>
      </c>
    </row>
    <row r="218" spans="1:14" x14ac:dyDescent="0.25">
      <c r="A218" s="74" t="s">
        <v>1246</v>
      </c>
      <c r="B218" s="74">
        <v>3011</v>
      </c>
      <c r="C218" t="e">
        <f>VLOOKUP(B218,'Waste Lookups'!$B$1:$C$292,2,FALSE)</f>
        <v>#N/A</v>
      </c>
      <c r="D218" s="84">
        <v>0</v>
      </c>
      <c r="E218" s="84">
        <v>0</v>
      </c>
      <c r="F218" s="84">
        <v>0</v>
      </c>
      <c r="G218" s="84">
        <v>0</v>
      </c>
      <c r="H218" s="84">
        <v>41.890909090909091</v>
      </c>
      <c r="I218" s="84"/>
      <c r="J218" s="84">
        <v>0</v>
      </c>
      <c r="K218" s="84">
        <v>0</v>
      </c>
      <c r="L218" s="84">
        <v>0</v>
      </c>
      <c r="M218" s="84">
        <v>0</v>
      </c>
      <c r="N218" s="84">
        <v>-96.96</v>
      </c>
    </row>
    <row r="219" spans="1:14" x14ac:dyDescent="0.25">
      <c r="A219" s="74" t="s">
        <v>1248</v>
      </c>
      <c r="B219" s="74">
        <v>3013</v>
      </c>
      <c r="C219" t="e">
        <f>VLOOKUP(B219,'Waste Lookups'!$B$1:$C$292,2,FALSE)</f>
        <v>#N/A</v>
      </c>
      <c r="D219" s="84">
        <v>0</v>
      </c>
      <c r="E219" s="84">
        <v>0</v>
      </c>
      <c r="F219" s="84">
        <v>0</v>
      </c>
      <c r="G219" s="84">
        <v>0</v>
      </c>
      <c r="H219" s="84">
        <v>136.56</v>
      </c>
      <c r="I219" s="84"/>
      <c r="J219" s="84">
        <v>0</v>
      </c>
      <c r="K219" s="84">
        <v>0</v>
      </c>
      <c r="L219" s="84">
        <v>0</v>
      </c>
      <c r="M219" s="84">
        <v>0</v>
      </c>
      <c r="N219" s="84">
        <v>304.92</v>
      </c>
    </row>
    <row r="220" spans="1:14" x14ac:dyDescent="0.25">
      <c r="A220" s="74" t="s">
        <v>1250</v>
      </c>
      <c r="B220" s="74">
        <v>3014</v>
      </c>
      <c r="C220" t="e">
        <f>VLOOKUP(B220,'Waste Lookups'!$B$1:$C$292,2,FALSE)</f>
        <v>#N/A</v>
      </c>
      <c r="D220" s="84">
        <v>0</v>
      </c>
      <c r="E220" s="84">
        <v>0</v>
      </c>
      <c r="F220" s="84">
        <v>0</v>
      </c>
      <c r="G220" s="84">
        <v>0</v>
      </c>
      <c r="H220" s="84">
        <v>0</v>
      </c>
      <c r="I220" s="84"/>
      <c r="J220" s="84">
        <v>0</v>
      </c>
      <c r="K220" s="84">
        <v>0</v>
      </c>
      <c r="L220" s="84">
        <v>0</v>
      </c>
      <c r="M220" s="84">
        <v>0</v>
      </c>
      <c r="N220" s="84">
        <v>0</v>
      </c>
    </row>
    <row r="221" spans="1:14" x14ac:dyDescent="0.25">
      <c r="A221" s="74" t="s">
        <v>1252</v>
      </c>
      <c r="B221" s="74">
        <v>3016</v>
      </c>
      <c r="C221" t="e">
        <f>VLOOKUP(B221,'Waste Lookups'!$B$1:$C$292,2,FALSE)</f>
        <v>#N/A</v>
      </c>
      <c r="D221" s="84">
        <v>0</v>
      </c>
      <c r="E221" s="84">
        <v>0</v>
      </c>
      <c r="F221" s="84">
        <v>0</v>
      </c>
      <c r="G221" s="84">
        <v>0</v>
      </c>
      <c r="H221" s="84">
        <v>198.82909090909089</v>
      </c>
      <c r="I221" s="84"/>
      <c r="J221" s="84">
        <v>0</v>
      </c>
      <c r="K221" s="84">
        <v>0</v>
      </c>
      <c r="L221" s="84">
        <v>0</v>
      </c>
      <c r="M221" s="84">
        <v>0</v>
      </c>
      <c r="N221" s="84">
        <v>532.04</v>
      </c>
    </row>
    <row r="222" spans="1:14" x14ac:dyDescent="0.25">
      <c r="A222" s="74" t="s">
        <v>1254</v>
      </c>
      <c r="B222" s="74">
        <v>3017</v>
      </c>
      <c r="C222" t="e">
        <f>VLOOKUP(B222,'Waste Lookups'!$B$1:$C$292,2,FALSE)</f>
        <v>#N/A</v>
      </c>
      <c r="D222" s="84">
        <v>3977.7490909090911</v>
      </c>
      <c r="E222" s="84">
        <v>914.90181818181804</v>
      </c>
      <c r="F222" s="84">
        <v>0</v>
      </c>
      <c r="G222" s="84">
        <v>137.90181818181819</v>
      </c>
      <c r="H222" s="84">
        <v>113.56363636363636</v>
      </c>
      <c r="I222" s="84"/>
      <c r="J222" s="84">
        <v>2945.7488649415532</v>
      </c>
      <c r="K222" s="84">
        <v>677.53669998982048</v>
      </c>
      <c r="L222" s="84">
        <v>0</v>
      </c>
      <c r="M222" s="84">
        <v>102.12411972159542</v>
      </c>
      <c r="N222" s="84">
        <v>84.100315347030161</v>
      </c>
    </row>
    <row r="223" spans="1:14" x14ac:dyDescent="0.25">
      <c r="A223" s="74" t="s">
        <v>1256</v>
      </c>
      <c r="B223" s="74">
        <v>3018</v>
      </c>
      <c r="C223" t="e">
        <f>VLOOKUP(B223,'Waste Lookups'!$B$1:$C$292,2,FALSE)</f>
        <v>#N/A</v>
      </c>
      <c r="D223" s="84">
        <v>0</v>
      </c>
      <c r="E223" s="84">
        <v>354.16363636363633</v>
      </c>
      <c r="F223" s="84">
        <v>0</v>
      </c>
      <c r="G223" s="84">
        <v>0</v>
      </c>
      <c r="H223" s="84">
        <v>0</v>
      </c>
      <c r="I223" s="84"/>
      <c r="J223" s="84">
        <v>0</v>
      </c>
      <c r="K223" s="84">
        <v>698.17000000000007</v>
      </c>
      <c r="L223" s="84">
        <v>0</v>
      </c>
      <c r="M223" s="84">
        <v>0</v>
      </c>
      <c r="N223" s="84">
        <v>0</v>
      </c>
    </row>
    <row r="224" spans="1:14" x14ac:dyDescent="0.25">
      <c r="A224" s="74" t="s">
        <v>1258</v>
      </c>
      <c r="B224" s="74">
        <v>3019</v>
      </c>
      <c r="C224" t="e">
        <f>VLOOKUP(B224,'Waste Lookups'!$B$1:$C$292,2,FALSE)</f>
        <v>#N/A</v>
      </c>
      <c r="D224" s="84">
        <v>0</v>
      </c>
      <c r="E224" s="84">
        <v>0</v>
      </c>
      <c r="F224" s="84">
        <v>0</v>
      </c>
      <c r="G224" s="84">
        <v>0</v>
      </c>
      <c r="H224" s="84">
        <v>0</v>
      </c>
      <c r="I224" s="84"/>
      <c r="J224" s="84">
        <v>0</v>
      </c>
      <c r="K224" s="84">
        <v>0</v>
      </c>
      <c r="L224" s="84">
        <v>0</v>
      </c>
      <c r="M224" s="84">
        <v>0</v>
      </c>
      <c r="N224" s="84">
        <v>0</v>
      </c>
    </row>
    <row r="225" spans="1:14" x14ac:dyDescent="0.25">
      <c r="A225" s="74" t="s">
        <v>1260</v>
      </c>
      <c r="B225" s="74">
        <v>3020</v>
      </c>
      <c r="C225" t="e">
        <f>VLOOKUP(B225,'Waste Lookups'!$B$1:$C$292,2,FALSE)</f>
        <v>#N/A</v>
      </c>
      <c r="D225" s="84">
        <v>391.85454545454547</v>
      </c>
      <c r="E225" s="84">
        <v>290.78181818181821</v>
      </c>
      <c r="F225" s="84">
        <v>0</v>
      </c>
      <c r="G225" s="84">
        <v>253.58181818181816</v>
      </c>
      <c r="H225" s="84">
        <v>242.62909090909091</v>
      </c>
      <c r="I225" s="84"/>
      <c r="J225" s="84">
        <v>540.13128140587264</v>
      </c>
      <c r="K225" s="84">
        <v>400.81289827042133</v>
      </c>
      <c r="L225" s="84">
        <v>0</v>
      </c>
      <c r="M225" s="84">
        <v>349.53651548662327</v>
      </c>
      <c r="N225" s="84">
        <v>334.43930483708272</v>
      </c>
    </row>
    <row r="226" spans="1:14" x14ac:dyDescent="0.25">
      <c r="A226" s="74" t="s">
        <v>764</v>
      </c>
      <c r="B226" s="74">
        <v>3023</v>
      </c>
      <c r="C226" t="str">
        <f>VLOOKUP(B226,'Waste Lookups'!$B$1:$C$292,2,FALSE)</f>
        <v>Dr Piper house</v>
      </c>
      <c r="D226" s="84">
        <v>2955.8945454545456</v>
      </c>
      <c r="E226" s="84">
        <v>1778.0945454545456</v>
      </c>
      <c r="F226" s="84">
        <v>0</v>
      </c>
      <c r="G226" s="84">
        <v>624.79636363636371</v>
      </c>
      <c r="H226" s="84">
        <v>1522.1781818181817</v>
      </c>
      <c r="I226" s="84"/>
      <c r="J226" s="84">
        <v>1486.8644825328379</v>
      </c>
      <c r="K226" s="84">
        <v>894.41134843164161</v>
      </c>
      <c r="L226" s="84">
        <v>0</v>
      </c>
      <c r="M226" s="84">
        <v>314.28303940515735</v>
      </c>
      <c r="N226" s="84">
        <v>765.68112963036356</v>
      </c>
    </row>
    <row r="227" spans="1:14" x14ac:dyDescent="0.25">
      <c r="A227" s="74" t="s">
        <v>1263</v>
      </c>
      <c r="B227" s="74">
        <v>3024</v>
      </c>
      <c r="C227" t="e">
        <f>VLOOKUP(B227,'Waste Lookups'!$B$1:$C$292,2,FALSE)</f>
        <v>#N/A</v>
      </c>
      <c r="D227" s="84">
        <v>1058.6836363636364</v>
      </c>
      <c r="E227" s="84">
        <v>200.16</v>
      </c>
      <c r="F227" s="84">
        <v>0</v>
      </c>
      <c r="G227" s="84">
        <v>74.672727272727272</v>
      </c>
      <c r="H227" s="84">
        <v>363.81818181818181</v>
      </c>
      <c r="I227" s="84"/>
      <c r="J227" s="84">
        <v>596.05176792703844</v>
      </c>
      <c r="K227" s="84">
        <v>112.69251528064321</v>
      </c>
      <c r="L227" s="84">
        <v>0</v>
      </c>
      <c r="M227" s="84">
        <v>42.041653972967232</v>
      </c>
      <c r="N227" s="84">
        <v>204.83406281935095</v>
      </c>
    </row>
    <row r="228" spans="1:14" x14ac:dyDescent="0.25">
      <c r="A228" s="74" t="s">
        <v>1265</v>
      </c>
      <c r="B228" s="74">
        <v>3025</v>
      </c>
      <c r="C228" t="e">
        <f>VLOOKUP(B228,'Waste Lookups'!$B$1:$C$292,2,FALSE)</f>
        <v>#N/A</v>
      </c>
      <c r="D228" s="84">
        <v>168.52363636363634</v>
      </c>
      <c r="E228" s="84">
        <v>244.62545454545455</v>
      </c>
      <c r="F228" s="84">
        <v>0</v>
      </c>
      <c r="G228" s="84">
        <v>20.290909090909093</v>
      </c>
      <c r="H228" s="84">
        <v>348.16363636363633</v>
      </c>
      <c r="I228" s="84"/>
      <c r="J228" s="84">
        <v>128.64097924546735</v>
      </c>
      <c r="K228" s="84">
        <v>186.73260736667274</v>
      </c>
      <c r="L228" s="84">
        <v>0</v>
      </c>
      <c r="M228" s="84">
        <v>15.488880204335146</v>
      </c>
      <c r="N228" s="84">
        <v>265.76753318352479</v>
      </c>
    </row>
    <row r="229" spans="1:14" x14ac:dyDescent="0.25">
      <c r="A229" s="74" t="s">
        <v>1267</v>
      </c>
      <c r="B229" s="74">
        <v>3026</v>
      </c>
      <c r="C229" t="e">
        <f>VLOOKUP(B229,'Waste Lookups'!$B$1:$C$292,2,FALSE)</f>
        <v>#N/A</v>
      </c>
      <c r="D229" s="84">
        <v>2323.0690909090908</v>
      </c>
      <c r="E229" s="84">
        <v>612.55636363636359</v>
      </c>
      <c r="F229" s="84">
        <v>0</v>
      </c>
      <c r="G229" s="84">
        <v>97.887272727272745</v>
      </c>
      <c r="H229" s="84">
        <v>721.12363636363636</v>
      </c>
      <c r="I229" s="84"/>
      <c r="J229" s="84">
        <v>1133.3839045834238</v>
      </c>
      <c r="K229" s="84">
        <v>298.8553056439311</v>
      </c>
      <c r="L229" s="84">
        <v>0</v>
      </c>
      <c r="M229" s="84">
        <v>47.757451470908698</v>
      </c>
      <c r="N229" s="84">
        <v>351.82333830173599</v>
      </c>
    </row>
    <row r="230" spans="1:14" x14ac:dyDescent="0.25">
      <c r="A230" s="74" t="s">
        <v>1269</v>
      </c>
      <c r="B230" s="74">
        <v>3030</v>
      </c>
      <c r="C230" t="e">
        <f>VLOOKUP(B230,'Waste Lookups'!$B$1:$C$292,2,FALSE)</f>
        <v>#N/A</v>
      </c>
      <c r="D230" s="84">
        <v>1066.3745454545453</v>
      </c>
      <c r="E230" s="84">
        <v>417</v>
      </c>
      <c r="F230" s="84">
        <v>0</v>
      </c>
      <c r="G230" s="84">
        <v>0</v>
      </c>
      <c r="H230" s="84">
        <v>0</v>
      </c>
      <c r="I230" s="84"/>
      <c r="J230" s="84">
        <v>1271.7277426163441</v>
      </c>
      <c r="K230" s="84">
        <v>497.30225738365601</v>
      </c>
      <c r="L230" s="84">
        <v>0</v>
      </c>
      <c r="M230" s="84">
        <v>0</v>
      </c>
      <c r="N230" s="84">
        <v>0</v>
      </c>
    </row>
    <row r="231" spans="1:14" x14ac:dyDescent="0.25">
      <c r="A231" s="74" t="s">
        <v>1271</v>
      </c>
      <c r="B231" s="74">
        <v>3031</v>
      </c>
      <c r="C231" t="e">
        <f>VLOOKUP(B231,'Waste Lookups'!$B$1:$C$292,2,FALSE)</f>
        <v>#N/A</v>
      </c>
      <c r="D231" s="84">
        <v>564.93818181818187</v>
      </c>
      <c r="E231" s="84">
        <v>89.225454545454554</v>
      </c>
      <c r="F231" s="84">
        <v>0</v>
      </c>
      <c r="G231" s="84">
        <v>0</v>
      </c>
      <c r="H231" s="84">
        <v>0</v>
      </c>
      <c r="I231" s="84"/>
      <c r="J231" s="84">
        <v>1003.3607667806219</v>
      </c>
      <c r="K231" s="84">
        <v>158.46923321937797</v>
      </c>
      <c r="L231" s="84">
        <v>0</v>
      </c>
      <c r="M231" s="84">
        <v>0</v>
      </c>
      <c r="N231" s="84">
        <v>0</v>
      </c>
    </row>
    <row r="232" spans="1:14" x14ac:dyDescent="0.25">
      <c r="A232" s="74" t="s">
        <v>1273</v>
      </c>
      <c r="B232" s="74">
        <v>3032</v>
      </c>
      <c r="C232" t="e">
        <f>VLOOKUP(B232,'Waste Lookups'!$B$1:$C$292,2,FALSE)</f>
        <v>#N/A</v>
      </c>
      <c r="D232" s="84">
        <v>0</v>
      </c>
      <c r="E232" s="84">
        <v>0</v>
      </c>
      <c r="F232" s="84">
        <v>0</v>
      </c>
      <c r="G232" s="84">
        <v>0</v>
      </c>
      <c r="H232" s="84">
        <v>691.60363636363638</v>
      </c>
      <c r="I232" s="84"/>
      <c r="J232" s="84">
        <v>0</v>
      </c>
      <c r="K232" s="84">
        <v>0</v>
      </c>
      <c r="L232" s="84">
        <v>0</v>
      </c>
      <c r="M232" s="84">
        <v>0</v>
      </c>
      <c r="N232" s="84">
        <v>544.79</v>
      </c>
    </row>
    <row r="233" spans="1:14" x14ac:dyDescent="0.25">
      <c r="A233" s="74" t="s">
        <v>1275</v>
      </c>
      <c r="B233" s="74">
        <v>3055</v>
      </c>
      <c r="C233" t="e">
        <f>VLOOKUP(B233,'Waste Lookups'!$B$1:$C$292,2,FALSE)</f>
        <v>#N/A</v>
      </c>
      <c r="D233" s="84">
        <v>0</v>
      </c>
      <c r="E233" s="84">
        <v>0</v>
      </c>
      <c r="F233" s="84">
        <v>0</v>
      </c>
      <c r="G233" s="84">
        <v>0</v>
      </c>
      <c r="H233" s="84">
        <v>1540.1999999999998</v>
      </c>
      <c r="I233" s="84"/>
      <c r="J233" s="84">
        <v>0</v>
      </c>
      <c r="K233" s="84">
        <v>0</v>
      </c>
      <c r="L233" s="84">
        <v>0</v>
      </c>
      <c r="M233" s="84">
        <v>0</v>
      </c>
      <c r="N233" s="84">
        <v>563.30999999999995</v>
      </c>
    </row>
    <row r="234" spans="1:14" x14ac:dyDescent="0.25">
      <c r="A234" s="74" t="s">
        <v>1277</v>
      </c>
      <c r="B234" s="74">
        <v>3056</v>
      </c>
      <c r="C234" t="e">
        <f>VLOOKUP(B234,'Waste Lookups'!$B$1:$C$292,2,FALSE)</f>
        <v>#N/A</v>
      </c>
      <c r="D234" s="84">
        <v>0</v>
      </c>
      <c r="E234" s="84">
        <v>0</v>
      </c>
      <c r="F234" s="84">
        <v>0</v>
      </c>
      <c r="G234" s="84">
        <v>0</v>
      </c>
      <c r="H234" s="84">
        <v>712.00363636363636</v>
      </c>
      <c r="I234" s="84"/>
      <c r="J234" s="84">
        <v>0</v>
      </c>
      <c r="K234" s="84">
        <v>0</v>
      </c>
      <c r="L234" s="84">
        <v>0</v>
      </c>
      <c r="M234" s="84">
        <v>0</v>
      </c>
      <c r="N234" s="84">
        <v>1180.1400000000001</v>
      </c>
    </row>
    <row r="235" spans="1:14" x14ac:dyDescent="0.25">
      <c r="A235" s="74" t="s">
        <v>1279</v>
      </c>
      <c r="B235" s="74">
        <v>3057</v>
      </c>
      <c r="C235" t="e">
        <f>VLOOKUP(B235,'Waste Lookups'!$B$1:$C$292,2,FALSE)</f>
        <v>#N/A</v>
      </c>
      <c r="D235" s="84">
        <v>0</v>
      </c>
      <c r="E235" s="84">
        <v>0</v>
      </c>
      <c r="F235" s="84">
        <v>0</v>
      </c>
      <c r="G235" s="84">
        <v>0</v>
      </c>
      <c r="H235" s="84">
        <v>497.44363636363636</v>
      </c>
      <c r="I235" s="84"/>
      <c r="J235" s="84">
        <v>0</v>
      </c>
      <c r="K235" s="84">
        <v>0</v>
      </c>
      <c r="L235" s="84">
        <v>0</v>
      </c>
      <c r="M235" s="84">
        <v>0</v>
      </c>
      <c r="N235" s="84">
        <v>0</v>
      </c>
    </row>
    <row r="236" spans="1:14" x14ac:dyDescent="0.25">
      <c r="A236" s="74" t="s">
        <v>1281</v>
      </c>
      <c r="B236" s="74">
        <v>3059</v>
      </c>
      <c r="C236" t="e">
        <f>VLOOKUP(B236,'Waste Lookups'!$B$1:$C$292,2,FALSE)</f>
        <v>#N/A</v>
      </c>
      <c r="D236" s="84">
        <v>19.636363636363637</v>
      </c>
      <c r="E236" s="84">
        <v>0</v>
      </c>
      <c r="F236" s="84">
        <v>0</v>
      </c>
      <c r="G236" s="84">
        <v>0</v>
      </c>
      <c r="H236" s="84">
        <v>0</v>
      </c>
      <c r="I236" s="84"/>
      <c r="J236" s="84">
        <v>5489.1500000000005</v>
      </c>
      <c r="K236" s="84">
        <v>0</v>
      </c>
      <c r="L236" s="84">
        <v>0</v>
      </c>
      <c r="M236" s="84">
        <v>0</v>
      </c>
      <c r="N236" s="84">
        <v>0</v>
      </c>
    </row>
    <row r="237" spans="1:14" x14ac:dyDescent="0.25">
      <c r="A237" s="74" t="s">
        <v>1283</v>
      </c>
      <c r="B237" s="74">
        <v>3064</v>
      </c>
      <c r="C237" t="str">
        <f>VLOOKUP(B237,'Waste Lookups'!$B$1:$C$292,2,FALSE)</f>
        <v>Billingham Health Centre</v>
      </c>
      <c r="D237" s="84">
        <v>19.636363636363637</v>
      </c>
      <c r="E237" s="84">
        <v>0</v>
      </c>
      <c r="F237" s="84">
        <v>0</v>
      </c>
      <c r="G237" s="84">
        <v>0</v>
      </c>
      <c r="H237" s="84">
        <v>0</v>
      </c>
      <c r="I237" s="84"/>
      <c r="J237" s="84">
        <v>2810.6699999999996</v>
      </c>
      <c r="K237" s="84">
        <v>0</v>
      </c>
      <c r="L237" s="84">
        <v>0</v>
      </c>
      <c r="M237" s="84">
        <v>0</v>
      </c>
      <c r="N237" s="84">
        <v>0</v>
      </c>
    </row>
    <row r="238" spans="1:14" x14ac:dyDescent="0.25">
      <c r="A238" s="74" t="s">
        <v>1285</v>
      </c>
      <c r="B238" s="74">
        <v>3065</v>
      </c>
      <c r="C238" t="e">
        <f>VLOOKUP(B238,'Waste Lookups'!$B$1:$C$292,2,FALSE)</f>
        <v>#N/A</v>
      </c>
      <c r="D238" s="84">
        <v>19.636363636363637</v>
      </c>
      <c r="E238" s="84">
        <v>1046.2254545454546</v>
      </c>
      <c r="F238" s="84">
        <v>0</v>
      </c>
      <c r="G238" s="84">
        <v>0</v>
      </c>
      <c r="H238" s="84">
        <v>0</v>
      </c>
      <c r="I238" s="84"/>
      <c r="J238" s="84">
        <v>19.141857037582902</v>
      </c>
      <c r="K238" s="84">
        <v>1019.878142962417</v>
      </c>
      <c r="L238" s="84">
        <v>0</v>
      </c>
      <c r="M238" s="84">
        <v>0</v>
      </c>
      <c r="N238" s="84">
        <v>0</v>
      </c>
    </row>
    <row r="239" spans="1:14" x14ac:dyDescent="0.25">
      <c r="A239" s="74" t="s">
        <v>1287</v>
      </c>
      <c r="B239" s="74">
        <v>3066</v>
      </c>
      <c r="C239" t="e">
        <f>VLOOKUP(B239,'Waste Lookups'!$B$1:$C$292,2,FALSE)</f>
        <v>#N/A</v>
      </c>
      <c r="D239" s="84">
        <v>0</v>
      </c>
      <c r="E239" s="84">
        <v>1975.701818181818</v>
      </c>
      <c r="F239" s="84">
        <v>0</v>
      </c>
      <c r="G239" s="84">
        <v>0</v>
      </c>
      <c r="H239" s="84">
        <v>0</v>
      </c>
      <c r="I239" s="84"/>
      <c r="J239" s="84">
        <v>0</v>
      </c>
      <c r="K239" s="84">
        <v>0</v>
      </c>
      <c r="L239" s="84">
        <v>0</v>
      </c>
      <c r="M239" s="84">
        <v>0</v>
      </c>
      <c r="N239" s="84">
        <v>0</v>
      </c>
    </row>
    <row r="240" spans="1:14" x14ac:dyDescent="0.25">
      <c r="A240" s="74" t="s">
        <v>1289</v>
      </c>
      <c r="B240" s="74">
        <v>3067</v>
      </c>
      <c r="C240" t="e">
        <f>VLOOKUP(B240,'Waste Lookups'!$B$1:$C$292,2,FALSE)</f>
        <v>#N/A</v>
      </c>
      <c r="D240" s="84">
        <v>0</v>
      </c>
      <c r="E240" s="84">
        <v>0</v>
      </c>
      <c r="F240" s="84">
        <v>0</v>
      </c>
      <c r="G240" s="84">
        <v>0</v>
      </c>
      <c r="H240" s="84">
        <v>0</v>
      </c>
      <c r="I240" s="84"/>
      <c r="J240" s="84">
        <v>0</v>
      </c>
      <c r="K240" s="84">
        <v>0</v>
      </c>
      <c r="L240" s="84">
        <v>0</v>
      </c>
      <c r="M240" s="84">
        <v>0</v>
      </c>
      <c r="N240" s="84">
        <v>0</v>
      </c>
    </row>
    <row r="241" spans="1:14" x14ac:dyDescent="0.25">
      <c r="A241" s="74" t="s">
        <v>1291</v>
      </c>
      <c r="B241" s="74">
        <v>3070</v>
      </c>
      <c r="C241" t="e">
        <f>VLOOKUP(B241,'Waste Lookups'!$B$1:$C$292,2,FALSE)</f>
        <v>#N/A</v>
      </c>
      <c r="D241" s="84">
        <v>19.636363636363637</v>
      </c>
      <c r="E241" s="84">
        <v>0</v>
      </c>
      <c r="F241" s="84">
        <v>0</v>
      </c>
      <c r="G241" s="84">
        <v>0</v>
      </c>
      <c r="H241" s="84">
        <v>0</v>
      </c>
      <c r="I241" s="84"/>
      <c r="J241" s="84">
        <v>18</v>
      </c>
      <c r="K241" s="84">
        <v>0</v>
      </c>
      <c r="L241" s="84">
        <v>0</v>
      </c>
      <c r="M241" s="84">
        <v>0</v>
      </c>
      <c r="N241" s="84">
        <v>0</v>
      </c>
    </row>
    <row r="242" spans="1:14" x14ac:dyDescent="0.25">
      <c r="A242" s="74" t="s">
        <v>1293</v>
      </c>
      <c r="B242" s="74">
        <v>3073</v>
      </c>
      <c r="C242" t="e">
        <f>VLOOKUP(B242,'Waste Lookups'!$B$1:$C$292,2,FALSE)</f>
        <v>#N/A</v>
      </c>
      <c r="D242" s="84">
        <v>0</v>
      </c>
      <c r="E242" s="84">
        <v>52.36363636363636</v>
      </c>
      <c r="F242" s="84">
        <v>0</v>
      </c>
      <c r="G242" s="84">
        <v>931.28727272727269</v>
      </c>
      <c r="H242" s="84">
        <v>0</v>
      </c>
      <c r="I242" s="84"/>
      <c r="J242" s="84">
        <v>0</v>
      </c>
      <c r="K242" s="84">
        <v>6.9976044716529131</v>
      </c>
      <c r="L242" s="84">
        <v>0</v>
      </c>
      <c r="M242" s="84">
        <v>124.45239552834708</v>
      </c>
      <c r="N242" s="84">
        <v>0</v>
      </c>
    </row>
    <row r="243" spans="1:14" x14ac:dyDescent="0.25">
      <c r="A243" s="74" t="s">
        <v>669</v>
      </c>
      <c r="B243" s="74">
        <v>3075</v>
      </c>
      <c r="C243" t="str">
        <f>VLOOKUP(B243,'Waste Lookups'!$B$1:$C$292,2,FALSE)</f>
        <v>Teesdale House</v>
      </c>
      <c r="D243" s="84">
        <v>44.18181818181818</v>
      </c>
      <c r="E243" s="84">
        <v>1487.1272727272726</v>
      </c>
      <c r="F243" s="84">
        <v>0</v>
      </c>
      <c r="G243" s="84">
        <v>232.42909090909092</v>
      </c>
      <c r="H243" s="84">
        <v>3622.8218181818183</v>
      </c>
      <c r="I243" s="84"/>
      <c r="J243" s="84">
        <v>42.639470358548948</v>
      </c>
      <c r="K243" s="84">
        <v>1435.2129874758991</v>
      </c>
      <c r="L243" s="84">
        <v>0</v>
      </c>
      <c r="M243" s="84">
        <v>224.31519887882567</v>
      </c>
      <c r="N243" s="84">
        <v>3496.352343286725</v>
      </c>
    </row>
    <row r="244" spans="1:14" x14ac:dyDescent="0.25">
      <c r="A244" s="74" t="s">
        <v>1296</v>
      </c>
      <c r="B244" s="74">
        <v>3097</v>
      </c>
      <c r="C244" t="e">
        <f>VLOOKUP(B244,'Waste Lookups'!$B$1:$C$292,2,FALSE)</f>
        <v>#N/A</v>
      </c>
      <c r="D244" s="84">
        <v>0</v>
      </c>
      <c r="E244" s="84">
        <v>1016.2036363636364</v>
      </c>
      <c r="F244" s="84">
        <v>0</v>
      </c>
      <c r="G244" s="84">
        <v>0</v>
      </c>
      <c r="H244" s="84">
        <v>0</v>
      </c>
      <c r="I244" s="84"/>
      <c r="J244" s="84">
        <v>0</v>
      </c>
      <c r="K244" s="84">
        <v>1726.6</v>
      </c>
      <c r="L244" s="84">
        <v>0</v>
      </c>
      <c r="M244" s="84">
        <v>0</v>
      </c>
      <c r="N244" s="84">
        <v>0</v>
      </c>
    </row>
    <row r="245" spans="1:14" x14ac:dyDescent="0.25">
      <c r="A245" s="74" t="s">
        <v>1298</v>
      </c>
      <c r="B245" s="74">
        <v>3100</v>
      </c>
      <c r="C245" t="e">
        <f>VLOOKUP(B245,'Waste Lookups'!$B$1:$C$292,2,FALSE)</f>
        <v>#N/A</v>
      </c>
      <c r="D245" s="84">
        <v>12458.934545454546</v>
      </c>
      <c r="E245" s="84">
        <v>923.30181818181813</v>
      </c>
      <c r="F245" s="84">
        <v>0</v>
      </c>
      <c r="G245" s="84">
        <v>15329.18181818182</v>
      </c>
      <c r="H245" s="84">
        <v>0</v>
      </c>
      <c r="I245" s="84"/>
      <c r="J245" s="84">
        <v>8996.1214447391212</v>
      </c>
      <c r="K245" s="84">
        <v>666.68102767603375</v>
      </c>
      <c r="L245" s="84">
        <v>0</v>
      </c>
      <c r="M245" s="84">
        <v>11068.617527584845</v>
      </c>
      <c r="N245" s="84">
        <v>0</v>
      </c>
    </row>
    <row r="246" spans="1:14" x14ac:dyDescent="0.25">
      <c r="A246" s="74" t="s">
        <v>1300</v>
      </c>
      <c r="B246" s="74">
        <v>3101</v>
      </c>
      <c r="C246" t="e">
        <f>VLOOKUP(B246,'Waste Lookups'!$B$1:$C$292,2,FALSE)</f>
        <v>#N/A</v>
      </c>
      <c r="D246" s="84">
        <v>3309.3272727272733</v>
      </c>
      <c r="E246" s="84">
        <v>574.29818181818189</v>
      </c>
      <c r="F246" s="84">
        <v>0</v>
      </c>
      <c r="G246" s="84">
        <v>0</v>
      </c>
      <c r="H246" s="84">
        <v>0</v>
      </c>
      <c r="I246" s="84"/>
      <c r="J246" s="84">
        <v>4884.5830992502788</v>
      </c>
      <c r="K246" s="84">
        <v>847.66690074972121</v>
      </c>
      <c r="L246" s="84">
        <v>0</v>
      </c>
      <c r="M246" s="84">
        <v>0</v>
      </c>
      <c r="N246" s="84">
        <v>0</v>
      </c>
    </row>
    <row r="247" spans="1:14" x14ac:dyDescent="0.25">
      <c r="A247" s="74" t="s">
        <v>1302</v>
      </c>
      <c r="B247" s="74">
        <v>3105</v>
      </c>
      <c r="C247" t="e">
        <f>VLOOKUP(B247,'Waste Lookups'!$B$1:$C$292,2,FALSE)</f>
        <v>#N/A</v>
      </c>
      <c r="D247" s="84">
        <v>341.55272727272722</v>
      </c>
      <c r="E247" s="84">
        <v>0</v>
      </c>
      <c r="F247" s="84">
        <v>0</v>
      </c>
      <c r="G247" s="84">
        <v>0</v>
      </c>
      <c r="H247" s="84">
        <v>31.003636363636367</v>
      </c>
      <c r="I247" s="84"/>
      <c r="J247" s="84">
        <v>2080.0485414775558</v>
      </c>
      <c r="K247" s="84">
        <v>0</v>
      </c>
      <c r="L247" s="84">
        <v>0</v>
      </c>
      <c r="M247" s="84">
        <v>0</v>
      </c>
      <c r="N247" s="84">
        <v>188.81145852244452</v>
      </c>
    </row>
    <row r="248" spans="1:14" x14ac:dyDescent="0.25">
      <c r="A248" s="74" t="s">
        <v>766</v>
      </c>
      <c r="B248" s="74">
        <v>3106</v>
      </c>
      <c r="C248" t="str">
        <f>VLOOKUP(B248,'Waste Lookups'!$B$1:$C$292,2,FALSE)</f>
        <v>North Ormsby Health Village</v>
      </c>
      <c r="D248" s="84">
        <v>17424.752727272727</v>
      </c>
      <c r="E248" s="84">
        <v>0</v>
      </c>
      <c r="F248" s="84">
        <v>0</v>
      </c>
      <c r="G248" s="84">
        <v>0</v>
      </c>
      <c r="H248" s="84">
        <v>8667.4036363636369</v>
      </c>
      <c r="I248" s="84"/>
      <c r="J248" s="84">
        <v>21345.715070117207</v>
      </c>
      <c r="K248" s="84">
        <v>0</v>
      </c>
      <c r="L248" s="84">
        <v>0</v>
      </c>
      <c r="M248" s="84">
        <v>0</v>
      </c>
      <c r="N248" s="84">
        <v>10617.764929882796</v>
      </c>
    </row>
    <row r="249" spans="1:14" x14ac:dyDescent="0.25">
      <c r="A249" s="74" t="s">
        <v>1305</v>
      </c>
      <c r="B249" s="74">
        <v>3107</v>
      </c>
      <c r="C249" t="e">
        <f>VLOOKUP(B249,'Waste Lookups'!$B$1:$C$292,2,FALSE)</f>
        <v>#N/A</v>
      </c>
      <c r="D249" s="84">
        <v>6.545454545454545</v>
      </c>
      <c r="E249" s="84">
        <v>0</v>
      </c>
      <c r="F249" s="84">
        <v>0</v>
      </c>
      <c r="G249" s="84">
        <v>0</v>
      </c>
      <c r="H249" s="84">
        <v>0</v>
      </c>
      <c r="I249" s="84"/>
      <c r="J249" s="84">
        <v>0</v>
      </c>
      <c r="K249" s="84">
        <v>0</v>
      </c>
      <c r="L249" s="84">
        <v>0</v>
      </c>
      <c r="M249" s="84">
        <v>0</v>
      </c>
      <c r="N249" s="84">
        <v>0</v>
      </c>
    </row>
    <row r="250" spans="1:14" x14ac:dyDescent="0.25">
      <c r="A250" s="74" t="s">
        <v>1307</v>
      </c>
      <c r="B250" s="74">
        <v>3108</v>
      </c>
      <c r="C250" t="e">
        <f>VLOOKUP(B250,'Waste Lookups'!$B$1:$C$292,2,FALSE)</f>
        <v>#N/A</v>
      </c>
      <c r="D250" s="84">
        <v>6.545454545454545</v>
      </c>
      <c r="E250" s="84">
        <v>0</v>
      </c>
      <c r="F250" s="84">
        <v>0</v>
      </c>
      <c r="G250" s="84">
        <v>0</v>
      </c>
      <c r="H250" s="84">
        <v>8499</v>
      </c>
      <c r="I250" s="84"/>
      <c r="J250" s="84">
        <v>1.3851925481771251E-2</v>
      </c>
      <c r="K250" s="84">
        <v>0</v>
      </c>
      <c r="L250" s="84">
        <v>0</v>
      </c>
      <c r="M250" s="84">
        <v>0</v>
      </c>
      <c r="N250" s="84">
        <v>17.98614807451823</v>
      </c>
    </row>
    <row r="251" spans="1:14" x14ac:dyDescent="0.25">
      <c r="A251" s="74" t="s">
        <v>1309</v>
      </c>
      <c r="B251" s="74">
        <v>3109</v>
      </c>
      <c r="C251" t="e">
        <f>VLOOKUP(B251,'Waste Lookups'!$B$1:$C$292,2,FALSE)</f>
        <v>#N/A</v>
      </c>
      <c r="D251" s="84">
        <v>2330.1381818181817</v>
      </c>
      <c r="E251" s="84">
        <v>0</v>
      </c>
      <c r="F251" s="84">
        <v>0</v>
      </c>
      <c r="G251" s="84">
        <v>0</v>
      </c>
      <c r="H251" s="84">
        <v>0</v>
      </c>
      <c r="I251" s="84"/>
      <c r="J251" s="84">
        <v>272</v>
      </c>
      <c r="K251" s="84">
        <v>0</v>
      </c>
      <c r="L251" s="84">
        <v>0</v>
      </c>
      <c r="M251" s="84">
        <v>0</v>
      </c>
      <c r="N251" s="84">
        <v>0</v>
      </c>
    </row>
    <row r="252" spans="1:14" x14ac:dyDescent="0.25">
      <c r="A252" s="74" t="s">
        <v>1311</v>
      </c>
      <c r="B252" s="74">
        <v>3111</v>
      </c>
      <c r="C252" t="e">
        <f>VLOOKUP(B252,'Waste Lookups'!$B$1:$C$292,2,FALSE)</f>
        <v>#N/A</v>
      </c>
      <c r="D252" s="84">
        <v>0</v>
      </c>
      <c r="E252" s="84">
        <v>52.821818181818188</v>
      </c>
      <c r="F252" s="84">
        <v>0</v>
      </c>
      <c r="G252" s="84">
        <v>0</v>
      </c>
      <c r="H252" s="84">
        <v>0</v>
      </c>
      <c r="I252" s="84"/>
      <c r="J252" s="84">
        <v>0</v>
      </c>
      <c r="K252" s="84">
        <v>0</v>
      </c>
      <c r="L252" s="84">
        <v>0</v>
      </c>
      <c r="M252" s="84">
        <v>0</v>
      </c>
      <c r="N252" s="84">
        <v>0</v>
      </c>
    </row>
    <row r="253" spans="1:14" x14ac:dyDescent="0.25">
      <c r="A253" s="74" t="s">
        <v>668</v>
      </c>
      <c r="B253" s="74">
        <v>3115</v>
      </c>
      <c r="C253" t="str">
        <f>VLOOKUP(B253,'Waste Lookups'!$B$1:$C$292,2,FALSE)</f>
        <v>Riverside House - Unit 17/18 now 20 for CSU</v>
      </c>
      <c r="D253" s="84">
        <v>0</v>
      </c>
      <c r="E253" s="84">
        <v>0</v>
      </c>
      <c r="F253" s="84">
        <v>0</v>
      </c>
      <c r="G253" s="84">
        <v>17.672727272727272</v>
      </c>
      <c r="H253" s="84">
        <v>191.23636363636365</v>
      </c>
      <c r="I253" s="84"/>
      <c r="J253" s="84">
        <v>0</v>
      </c>
      <c r="K253" s="84">
        <v>0</v>
      </c>
      <c r="L253" s="84">
        <v>0</v>
      </c>
      <c r="M253" s="84">
        <v>561.80584856396854</v>
      </c>
      <c r="N253" s="84">
        <v>6079.2941514360309</v>
      </c>
    </row>
    <row r="254" spans="1:14" x14ac:dyDescent="0.25">
      <c r="A254" s="74" t="s">
        <v>1314</v>
      </c>
      <c r="B254" s="74">
        <v>3116</v>
      </c>
      <c r="C254" t="e">
        <f>VLOOKUP(B254,'Waste Lookups'!$B$1:$C$292,2,FALSE)</f>
        <v>#N/A</v>
      </c>
      <c r="D254" s="84">
        <v>0</v>
      </c>
      <c r="E254" s="84">
        <v>43.549090909090914</v>
      </c>
      <c r="F254" s="84">
        <v>0</v>
      </c>
      <c r="G254" s="84">
        <v>1653.2618181818184</v>
      </c>
      <c r="H254" s="84">
        <v>620.61818181818182</v>
      </c>
      <c r="I254" s="84"/>
      <c r="J254" s="84">
        <v>0</v>
      </c>
      <c r="K254" s="84">
        <v>39.313582669196116</v>
      </c>
      <c r="L254" s="84">
        <v>0</v>
      </c>
      <c r="M254" s="84">
        <v>1492.4684719273555</v>
      </c>
      <c r="N254" s="84">
        <v>560.25794540344862</v>
      </c>
    </row>
    <row r="255" spans="1:14" x14ac:dyDescent="0.25">
      <c r="A255" s="74" t="s">
        <v>1316</v>
      </c>
      <c r="B255" s="74">
        <v>3117</v>
      </c>
      <c r="C255" t="e">
        <f>VLOOKUP(B255,'Waste Lookups'!$B$1:$C$292,2,FALSE)</f>
        <v>#N/A</v>
      </c>
      <c r="D255" s="84">
        <v>8357.9563636363637</v>
      </c>
      <c r="E255" s="84">
        <v>3328.4072727272728</v>
      </c>
      <c r="F255" s="84">
        <v>0</v>
      </c>
      <c r="G255" s="84">
        <v>0</v>
      </c>
      <c r="H255" s="84">
        <v>0</v>
      </c>
      <c r="I255" s="84"/>
      <c r="J255" s="84">
        <v>7440.3307755052501</v>
      </c>
      <c r="K255" s="84">
        <v>2962.9792244947489</v>
      </c>
      <c r="L255" s="84">
        <v>0</v>
      </c>
      <c r="M255" s="84">
        <v>0</v>
      </c>
      <c r="N255" s="84">
        <v>0</v>
      </c>
    </row>
    <row r="256" spans="1:14" x14ac:dyDescent="0.25">
      <c r="A256" s="74" t="s">
        <v>1318</v>
      </c>
      <c r="B256" s="74">
        <v>3118</v>
      </c>
      <c r="C256" t="e">
        <f>VLOOKUP(B256,'Waste Lookups'!$B$1:$C$292,2,FALSE)</f>
        <v>#N/A</v>
      </c>
      <c r="D256" s="84">
        <v>4524.7963636363629</v>
      </c>
      <c r="E256" s="84">
        <v>1721.9018181818183</v>
      </c>
      <c r="F256" s="84">
        <v>0</v>
      </c>
      <c r="G256" s="84">
        <v>0</v>
      </c>
      <c r="H256" s="84">
        <v>0</v>
      </c>
      <c r="I256" s="84"/>
      <c r="J256" s="84">
        <v>3756.4650576828371</v>
      </c>
      <c r="K256" s="84">
        <v>1429.5149423171633</v>
      </c>
      <c r="L256" s="84">
        <v>0</v>
      </c>
      <c r="M256" s="84">
        <v>0</v>
      </c>
      <c r="N256" s="84">
        <v>0</v>
      </c>
    </row>
    <row r="257" spans="1:14" x14ac:dyDescent="0.25">
      <c r="A257" s="74" t="s">
        <v>1320</v>
      </c>
      <c r="B257" s="74">
        <v>3119</v>
      </c>
      <c r="C257" t="e">
        <f>VLOOKUP(B257,'Waste Lookups'!$B$1:$C$292,2,FALSE)</f>
        <v>#N/A</v>
      </c>
      <c r="D257" s="84">
        <v>0</v>
      </c>
      <c r="E257" s="84">
        <v>0</v>
      </c>
      <c r="F257" s="84">
        <v>0</v>
      </c>
      <c r="G257" s="84">
        <v>0</v>
      </c>
      <c r="H257" s="84">
        <v>0</v>
      </c>
      <c r="I257" s="84"/>
      <c r="J257" s="84">
        <v>0</v>
      </c>
      <c r="K257" s="84">
        <v>0</v>
      </c>
      <c r="L257" s="84">
        <v>0</v>
      </c>
      <c r="M257" s="84">
        <v>0</v>
      </c>
      <c r="N257" s="84">
        <v>0</v>
      </c>
    </row>
    <row r="258" spans="1:14" x14ac:dyDescent="0.25">
      <c r="A258" s="74" t="s">
        <v>1322</v>
      </c>
      <c r="B258" s="74">
        <v>3120</v>
      </c>
      <c r="C258" t="e">
        <f>VLOOKUP(B258,'Waste Lookups'!$B$1:$C$292,2,FALSE)</f>
        <v>#N/A</v>
      </c>
      <c r="D258" s="84">
        <v>19.636363636363637</v>
      </c>
      <c r="E258" s="84">
        <v>0</v>
      </c>
      <c r="F258" s="84">
        <v>0</v>
      </c>
      <c r="G258" s="84">
        <v>0</v>
      </c>
      <c r="H258" s="84">
        <v>0</v>
      </c>
      <c r="I258" s="84"/>
      <c r="J258" s="84">
        <v>18</v>
      </c>
      <c r="K258" s="84">
        <v>0</v>
      </c>
      <c r="L258" s="84">
        <v>0</v>
      </c>
      <c r="M258" s="84">
        <v>0</v>
      </c>
      <c r="N258" s="84">
        <v>0</v>
      </c>
    </row>
    <row r="259" spans="1:14" x14ac:dyDescent="0.25">
      <c r="A259" s="74" t="s">
        <v>1324</v>
      </c>
      <c r="B259" s="74">
        <v>3121</v>
      </c>
      <c r="C259" t="e">
        <f>VLOOKUP(B259,'Waste Lookups'!$B$1:$C$292,2,FALSE)</f>
        <v>#N/A</v>
      </c>
      <c r="D259" s="84">
        <v>7761.1745454545453</v>
      </c>
      <c r="E259" s="84">
        <v>0</v>
      </c>
      <c r="F259" s="84">
        <v>0</v>
      </c>
      <c r="G259" s="84">
        <v>0</v>
      </c>
      <c r="H259" s="84">
        <v>0</v>
      </c>
      <c r="I259" s="84"/>
      <c r="J259" s="84">
        <v>13723.59</v>
      </c>
      <c r="K259" s="84">
        <v>0</v>
      </c>
      <c r="L259" s="84">
        <v>0</v>
      </c>
      <c r="M259" s="84">
        <v>0</v>
      </c>
      <c r="N259" s="84">
        <v>0</v>
      </c>
    </row>
    <row r="260" spans="1:14" x14ac:dyDescent="0.25">
      <c r="A260" s="74" t="s">
        <v>1326</v>
      </c>
      <c r="B260" s="74">
        <v>3122</v>
      </c>
      <c r="C260" t="e">
        <f>VLOOKUP(B260,'Waste Lookups'!$B$1:$C$292,2,FALSE)</f>
        <v>#N/A</v>
      </c>
      <c r="D260" s="84">
        <v>805.77818181818179</v>
      </c>
      <c r="E260" s="84">
        <v>0</v>
      </c>
      <c r="F260" s="84">
        <v>0</v>
      </c>
      <c r="G260" s="84">
        <v>0</v>
      </c>
      <c r="H260" s="84">
        <v>0</v>
      </c>
      <c r="I260" s="84"/>
      <c r="J260" s="84">
        <v>2661.26</v>
      </c>
      <c r="K260" s="84">
        <v>0</v>
      </c>
      <c r="L260" s="84">
        <v>0</v>
      </c>
      <c r="M260" s="84">
        <v>0</v>
      </c>
      <c r="N260" s="84">
        <v>0</v>
      </c>
    </row>
    <row r="261" spans="1:14" x14ac:dyDescent="0.25">
      <c r="A261" s="74" t="s">
        <v>1328</v>
      </c>
      <c r="B261" s="74">
        <v>3124</v>
      </c>
      <c r="C261" t="e">
        <f>VLOOKUP(B261,'Waste Lookups'!$B$1:$C$292,2,FALSE)</f>
        <v>#N/A</v>
      </c>
      <c r="D261" s="84">
        <v>1408.330909090909</v>
      </c>
      <c r="E261" s="84">
        <v>0</v>
      </c>
      <c r="F261" s="84">
        <v>0</v>
      </c>
      <c r="G261" s="84">
        <v>0</v>
      </c>
      <c r="H261" s="84">
        <v>0</v>
      </c>
      <c r="I261" s="84"/>
      <c r="J261" s="84">
        <v>1905</v>
      </c>
      <c r="K261" s="84">
        <v>0</v>
      </c>
      <c r="L261" s="84">
        <v>0</v>
      </c>
      <c r="M261" s="84">
        <v>0</v>
      </c>
      <c r="N261" s="84">
        <v>0</v>
      </c>
    </row>
    <row r="262" spans="1:14" x14ac:dyDescent="0.25">
      <c r="A262" s="74" t="s">
        <v>1330</v>
      </c>
      <c r="B262" s="74">
        <v>3125</v>
      </c>
      <c r="C262" t="e">
        <f>VLOOKUP(B262,'Waste Lookups'!$B$1:$C$292,2,FALSE)</f>
        <v>#N/A</v>
      </c>
      <c r="D262" s="84">
        <v>5208.1090909090917</v>
      </c>
      <c r="E262" s="84">
        <v>0</v>
      </c>
      <c r="F262" s="84">
        <v>0</v>
      </c>
      <c r="G262" s="84">
        <v>0</v>
      </c>
      <c r="H262" s="84">
        <v>0</v>
      </c>
      <c r="I262" s="84"/>
      <c r="J262" s="84">
        <v>19724.969999999998</v>
      </c>
      <c r="K262" s="84">
        <v>0</v>
      </c>
      <c r="L262" s="84">
        <v>0</v>
      </c>
      <c r="M262" s="84">
        <v>0</v>
      </c>
      <c r="N262" s="84">
        <v>0</v>
      </c>
    </row>
    <row r="263" spans="1:14" x14ac:dyDescent="0.25">
      <c r="A263" s="74" t="s">
        <v>1332</v>
      </c>
      <c r="B263" s="74">
        <v>3126</v>
      </c>
      <c r="C263" t="e">
        <f>VLOOKUP(B263,'Waste Lookups'!$B$1:$C$292,2,FALSE)</f>
        <v>#N/A</v>
      </c>
      <c r="D263" s="84">
        <v>822.52363636363634</v>
      </c>
      <c r="E263" s="84">
        <v>0</v>
      </c>
      <c r="F263" s="84">
        <v>0</v>
      </c>
      <c r="G263" s="84">
        <v>0</v>
      </c>
      <c r="H263" s="84">
        <v>0</v>
      </c>
      <c r="I263" s="84"/>
      <c r="J263" s="84">
        <v>1493.2800000000002</v>
      </c>
      <c r="K263" s="84">
        <v>0</v>
      </c>
      <c r="L263" s="84">
        <v>0</v>
      </c>
      <c r="M263" s="84">
        <v>0</v>
      </c>
      <c r="N263" s="84">
        <v>0</v>
      </c>
    </row>
    <row r="264" spans="1:14" x14ac:dyDescent="0.25">
      <c r="A264" s="74" t="s">
        <v>1334</v>
      </c>
      <c r="B264" s="74">
        <v>3128</v>
      </c>
      <c r="C264" t="e">
        <f>VLOOKUP(B264,'Waste Lookups'!$B$1:$C$292,2,FALSE)</f>
        <v>#N/A</v>
      </c>
      <c r="D264" s="84">
        <v>161.70545454545453</v>
      </c>
      <c r="E264" s="84">
        <v>0</v>
      </c>
      <c r="F264" s="84">
        <v>0</v>
      </c>
      <c r="G264" s="84">
        <v>0</v>
      </c>
      <c r="H264" s="84">
        <v>0</v>
      </c>
      <c r="I264" s="84"/>
      <c r="J264" s="84">
        <v>609.6</v>
      </c>
      <c r="K264" s="84">
        <v>0</v>
      </c>
      <c r="L264" s="84">
        <v>0</v>
      </c>
      <c r="M264" s="84">
        <v>0</v>
      </c>
      <c r="N264" s="84">
        <v>0</v>
      </c>
    </row>
    <row r="265" spans="1:14" x14ac:dyDescent="0.25">
      <c r="A265" s="74" t="s">
        <v>1336</v>
      </c>
      <c r="B265" s="74">
        <v>3129</v>
      </c>
      <c r="C265" t="e">
        <f>VLOOKUP(B265,'Waste Lookups'!$B$1:$C$292,2,FALSE)</f>
        <v>#N/A</v>
      </c>
      <c r="D265" s="84">
        <v>777.38181818181818</v>
      </c>
      <c r="E265" s="84">
        <v>0</v>
      </c>
      <c r="F265" s="84">
        <v>0</v>
      </c>
      <c r="G265" s="84">
        <v>0</v>
      </c>
      <c r="H265" s="84">
        <v>0</v>
      </c>
      <c r="I265" s="84"/>
      <c r="J265" s="84">
        <v>981.32</v>
      </c>
      <c r="K265" s="84">
        <v>0</v>
      </c>
      <c r="L265" s="84">
        <v>0</v>
      </c>
      <c r="M265" s="84">
        <v>0</v>
      </c>
      <c r="N265" s="84">
        <v>0</v>
      </c>
    </row>
    <row r="266" spans="1:14" x14ac:dyDescent="0.25">
      <c r="A266" s="74" t="s">
        <v>1338</v>
      </c>
      <c r="B266" s="74">
        <v>3133</v>
      </c>
      <c r="C266" t="e">
        <f>VLOOKUP(B266,'Waste Lookups'!$B$1:$C$292,2,FALSE)</f>
        <v>#N/A</v>
      </c>
      <c r="D266" s="84">
        <v>1091.1272727272728</v>
      </c>
      <c r="E266" s="84">
        <v>0</v>
      </c>
      <c r="F266" s="84">
        <v>0</v>
      </c>
      <c r="G266" s="84">
        <v>0</v>
      </c>
      <c r="H266" s="84">
        <v>0</v>
      </c>
      <c r="I266" s="84"/>
      <c r="J266" s="84">
        <v>1153.2699999999998</v>
      </c>
      <c r="K266" s="84">
        <v>0</v>
      </c>
      <c r="L266" s="84">
        <v>0</v>
      </c>
      <c r="M266" s="84">
        <v>0</v>
      </c>
      <c r="N266" s="84">
        <v>0</v>
      </c>
    </row>
    <row r="267" spans="1:14" x14ac:dyDescent="0.25">
      <c r="A267" s="74" t="s">
        <v>1340</v>
      </c>
      <c r="B267" s="74">
        <v>3134</v>
      </c>
      <c r="C267" t="e">
        <f>VLOOKUP(B267,'Waste Lookups'!$B$1:$C$292,2,FALSE)</f>
        <v>#N/A</v>
      </c>
      <c r="D267" s="84">
        <v>19.636363636363637</v>
      </c>
      <c r="E267" s="84">
        <v>0</v>
      </c>
      <c r="F267" s="84">
        <v>0</v>
      </c>
      <c r="G267" s="84">
        <v>0</v>
      </c>
      <c r="H267" s="84">
        <v>0</v>
      </c>
      <c r="I267" s="84"/>
      <c r="J267" s="84">
        <v>18</v>
      </c>
      <c r="K267" s="84">
        <v>0</v>
      </c>
      <c r="L267" s="84">
        <v>0</v>
      </c>
      <c r="M267" s="84">
        <v>0</v>
      </c>
      <c r="N267" s="84">
        <v>0</v>
      </c>
    </row>
    <row r="268" spans="1:14" x14ac:dyDescent="0.25">
      <c r="A268" s="74" t="s">
        <v>1342</v>
      </c>
      <c r="B268" s="74">
        <v>3136</v>
      </c>
      <c r="C268" t="e">
        <f>VLOOKUP(B268,'Waste Lookups'!$B$1:$C$292,2,FALSE)</f>
        <v>#N/A</v>
      </c>
      <c r="D268" s="84">
        <v>10994.88</v>
      </c>
      <c r="E268" s="84">
        <v>14262.032727272726</v>
      </c>
      <c r="F268" s="84">
        <v>0</v>
      </c>
      <c r="G268" s="84">
        <v>4724.3672727272724</v>
      </c>
      <c r="H268" s="84">
        <v>4151.4981818181814</v>
      </c>
      <c r="I268" s="84"/>
      <c r="J268" s="84">
        <v>11925.961279554902</v>
      </c>
      <c r="K268" s="84">
        <v>15469.786852898744</v>
      </c>
      <c r="L268" s="84">
        <v>0</v>
      </c>
      <c r="M268" s="84">
        <v>5124.4416642056885</v>
      </c>
      <c r="N268" s="84">
        <v>4503.0602033406649</v>
      </c>
    </row>
    <row r="269" spans="1:14" x14ac:dyDescent="0.25">
      <c r="A269" s="74" t="s">
        <v>1344</v>
      </c>
      <c r="B269" s="74">
        <v>3137</v>
      </c>
      <c r="C269" t="e">
        <f>VLOOKUP(B269,'Waste Lookups'!$B$1:$C$292,2,FALSE)</f>
        <v>#N/A</v>
      </c>
      <c r="D269" s="84">
        <v>34.298181818181817</v>
      </c>
      <c r="E269" s="84">
        <v>0</v>
      </c>
      <c r="F269" s="84">
        <v>0</v>
      </c>
      <c r="G269" s="84">
        <v>0</v>
      </c>
      <c r="H269" s="84">
        <v>0</v>
      </c>
      <c r="I269" s="84"/>
      <c r="J269" s="84">
        <v>0</v>
      </c>
      <c r="K269" s="84">
        <v>0</v>
      </c>
      <c r="L269" s="84">
        <v>0</v>
      </c>
      <c r="M269" s="84">
        <v>0</v>
      </c>
      <c r="N269" s="84">
        <v>0</v>
      </c>
    </row>
    <row r="270" spans="1:14" x14ac:dyDescent="0.25">
      <c r="A270" s="74" t="s">
        <v>1346</v>
      </c>
      <c r="B270" s="74">
        <v>3157</v>
      </c>
      <c r="C270" t="e">
        <f>VLOOKUP(B270,'Waste Lookups'!$B$1:$C$292,2,FALSE)</f>
        <v>#N/A</v>
      </c>
      <c r="D270" s="84">
        <v>0</v>
      </c>
      <c r="E270" s="84">
        <v>1280.9127272727274</v>
      </c>
      <c r="F270" s="84">
        <v>0</v>
      </c>
      <c r="G270" s="84">
        <v>0</v>
      </c>
      <c r="H270" s="84">
        <v>288.43636363636364</v>
      </c>
      <c r="I270" s="84"/>
      <c r="J270" s="84">
        <v>0</v>
      </c>
      <c r="K270" s="84">
        <v>34.280667607415694</v>
      </c>
      <c r="L270" s="84">
        <v>0</v>
      </c>
      <c r="M270" s="84">
        <v>0</v>
      </c>
      <c r="N270" s="84">
        <v>7.7193323925843016</v>
      </c>
    </row>
    <row r="271" spans="1:14" x14ac:dyDescent="0.25">
      <c r="A271" s="74" t="s">
        <v>1348</v>
      </c>
      <c r="B271" s="74">
        <v>3159</v>
      </c>
      <c r="C271" t="e">
        <f>VLOOKUP(B271,'Waste Lookups'!$B$1:$C$292,2,FALSE)</f>
        <v>#N/A</v>
      </c>
      <c r="D271" s="84">
        <v>533.12727272727273</v>
      </c>
      <c r="E271" s="84">
        <v>487.49454545454546</v>
      </c>
      <c r="F271" s="84">
        <v>0</v>
      </c>
      <c r="G271" s="84">
        <v>0</v>
      </c>
      <c r="H271" s="84">
        <v>213.20727272727271</v>
      </c>
      <c r="I271" s="84"/>
      <c r="J271" s="84">
        <v>395.29906455292178</v>
      </c>
      <c r="K271" s="84">
        <v>361.46366477749979</v>
      </c>
      <c r="L271" s="84">
        <v>0</v>
      </c>
      <c r="M271" s="84">
        <v>0</v>
      </c>
      <c r="N271" s="84">
        <v>158.08727066957852</v>
      </c>
    </row>
    <row r="272" spans="1:14" x14ac:dyDescent="0.25">
      <c r="A272" s="74" t="s">
        <v>680</v>
      </c>
      <c r="B272" s="74">
        <v>3160</v>
      </c>
      <c r="C272" t="str">
        <f>VLOOKUP(B272,'Waste Lookups'!$B$1:$C$292,2,FALSE)</f>
        <v>Alexandra Park Health Centre</v>
      </c>
      <c r="D272" s="84">
        <v>653.98909090909092</v>
      </c>
      <c r="E272" s="84">
        <v>884.5745454545455</v>
      </c>
      <c r="F272" s="84">
        <v>0</v>
      </c>
      <c r="G272" s="84">
        <v>0</v>
      </c>
      <c r="H272" s="84">
        <v>159.53454545454545</v>
      </c>
      <c r="I272" s="84"/>
      <c r="J272" s="84">
        <v>421.77931786790361</v>
      </c>
      <c r="K272" s="84">
        <v>570.49154729247914</v>
      </c>
      <c r="L272" s="84">
        <v>0</v>
      </c>
      <c r="M272" s="84">
        <v>0</v>
      </c>
      <c r="N272" s="84">
        <v>102.88913483961738</v>
      </c>
    </row>
    <row r="273" spans="1:14" x14ac:dyDescent="0.25">
      <c r="A273" s="74" t="s">
        <v>1351</v>
      </c>
      <c r="B273" s="74">
        <v>3162</v>
      </c>
      <c r="C273" t="e">
        <f>VLOOKUP(B273,'Waste Lookups'!$B$1:$C$292,2,FALSE)</f>
        <v>#N/A</v>
      </c>
      <c r="D273" s="84">
        <v>336.6109090909091</v>
      </c>
      <c r="E273" s="84">
        <v>450.27272727272725</v>
      </c>
      <c r="F273" s="84">
        <v>0</v>
      </c>
      <c r="G273" s="84">
        <v>0</v>
      </c>
      <c r="H273" s="84">
        <v>214.07999999999998</v>
      </c>
      <c r="I273" s="84"/>
      <c r="J273" s="84">
        <v>306.35059538989702</v>
      </c>
      <c r="K273" s="84">
        <v>409.79455615497795</v>
      </c>
      <c r="L273" s="84">
        <v>0</v>
      </c>
      <c r="M273" s="84">
        <v>0</v>
      </c>
      <c r="N273" s="84">
        <v>194.83484845512504</v>
      </c>
    </row>
    <row r="274" spans="1:14" x14ac:dyDescent="0.25">
      <c r="A274" s="74" t="s">
        <v>1353</v>
      </c>
      <c r="B274" s="74">
        <v>3163</v>
      </c>
      <c r="C274" t="e">
        <f>VLOOKUP(B274,'Waste Lookups'!$B$1:$C$292,2,FALSE)</f>
        <v>#N/A</v>
      </c>
      <c r="D274" s="84">
        <v>0</v>
      </c>
      <c r="E274" s="84">
        <v>328.0363636363636</v>
      </c>
      <c r="F274" s="84">
        <v>0</v>
      </c>
      <c r="G274" s="84">
        <v>0</v>
      </c>
      <c r="H274" s="84">
        <v>0</v>
      </c>
      <c r="I274" s="84"/>
      <c r="J274" s="84">
        <v>0</v>
      </c>
      <c r="K274" s="84">
        <v>0</v>
      </c>
      <c r="L274" s="84">
        <v>0</v>
      </c>
      <c r="M274" s="84">
        <v>0</v>
      </c>
      <c r="N274" s="84">
        <v>0</v>
      </c>
    </row>
    <row r="275" spans="1:14" x14ac:dyDescent="0.25">
      <c r="A275" s="74" t="s">
        <v>681</v>
      </c>
      <c r="B275" s="74">
        <v>3166</v>
      </c>
      <c r="C275" t="str">
        <f>VLOOKUP(B275,'Waste Lookups'!$B$1:$C$292,2,FALSE)</f>
        <v>Burnage Health Centre</v>
      </c>
      <c r="D275" s="84">
        <v>713.89090909090908</v>
      </c>
      <c r="E275" s="84">
        <v>923.87999999999988</v>
      </c>
      <c r="F275" s="84">
        <v>0</v>
      </c>
      <c r="G275" s="84">
        <v>0</v>
      </c>
      <c r="H275" s="84">
        <v>159.53454545454545</v>
      </c>
      <c r="I275" s="84"/>
      <c r="J275" s="84">
        <v>417.37447937215109</v>
      </c>
      <c r="K275" s="84">
        <v>540.1440599564196</v>
      </c>
      <c r="L275" s="84">
        <v>0</v>
      </c>
      <c r="M275" s="84">
        <v>0</v>
      </c>
      <c r="N275" s="84">
        <v>93.271460671429367</v>
      </c>
    </row>
    <row r="276" spans="1:14" x14ac:dyDescent="0.25">
      <c r="A276" s="74" t="s">
        <v>682</v>
      </c>
      <c r="B276" s="74">
        <v>3168</v>
      </c>
      <c r="C276" t="str">
        <f>VLOOKUP(B276,'Waste Lookups'!$B$1:$C$292,2,FALSE)</f>
        <v>Charlestown Road Health Centre</v>
      </c>
      <c r="D276" s="84">
        <v>218.94545454545454</v>
      </c>
      <c r="E276" s="84">
        <v>585.75272727272738</v>
      </c>
      <c r="F276" s="84">
        <v>0</v>
      </c>
      <c r="G276" s="84">
        <v>0</v>
      </c>
      <c r="H276" s="84">
        <v>159.53454545454545</v>
      </c>
      <c r="I276" s="84"/>
      <c r="J276" s="84">
        <v>219.93030615015613</v>
      </c>
      <c r="K276" s="84">
        <v>588.38753654342224</v>
      </c>
      <c r="L276" s="84">
        <v>0</v>
      </c>
      <c r="M276" s="84">
        <v>0</v>
      </c>
      <c r="N276" s="84">
        <v>160.25215730642168</v>
      </c>
    </row>
    <row r="277" spans="1:14" x14ac:dyDescent="0.25">
      <c r="A277" s="74" t="s">
        <v>1357</v>
      </c>
      <c r="B277" s="74">
        <v>3170</v>
      </c>
      <c r="C277" t="e">
        <f>VLOOKUP(B277,'Waste Lookups'!$B$1:$C$292,2,FALSE)</f>
        <v>#N/A</v>
      </c>
      <c r="D277" s="84">
        <v>883.1018181818182</v>
      </c>
      <c r="E277" s="84">
        <v>1122.4036363636362</v>
      </c>
      <c r="F277" s="84">
        <v>0</v>
      </c>
      <c r="G277" s="84">
        <v>0</v>
      </c>
      <c r="H277" s="84">
        <v>329.12727272727273</v>
      </c>
      <c r="I277" s="84"/>
      <c r="J277" s="84">
        <v>391.56880200740164</v>
      </c>
      <c r="K277" s="84">
        <v>497.67562268700232</v>
      </c>
      <c r="L277" s="84">
        <v>0</v>
      </c>
      <c r="M277" s="84">
        <v>0</v>
      </c>
      <c r="N277" s="84">
        <v>145.93557530559605</v>
      </c>
    </row>
    <row r="278" spans="1:14" x14ac:dyDescent="0.25">
      <c r="A278" s="74" t="s">
        <v>1359</v>
      </c>
      <c r="B278" s="74">
        <v>3171</v>
      </c>
      <c r="C278" t="e">
        <f>VLOOKUP(B278,'Waste Lookups'!$B$1:$C$292,2,FALSE)</f>
        <v>#N/A</v>
      </c>
      <c r="D278" s="84">
        <v>0</v>
      </c>
      <c r="E278" s="84">
        <v>78.2290909090909</v>
      </c>
      <c r="F278" s="84">
        <v>0</v>
      </c>
      <c r="G278" s="84">
        <v>0</v>
      </c>
      <c r="H278" s="84">
        <v>327.27272727272725</v>
      </c>
      <c r="I278" s="84"/>
      <c r="J278" s="84">
        <v>0</v>
      </c>
      <c r="K278" s="84">
        <v>32.667010034704468</v>
      </c>
      <c r="L278" s="84">
        <v>0</v>
      </c>
      <c r="M278" s="84">
        <v>0</v>
      </c>
      <c r="N278" s="84">
        <v>136.66298996529554</v>
      </c>
    </row>
    <row r="279" spans="1:14" x14ac:dyDescent="0.25">
      <c r="A279" s="74" t="s">
        <v>684</v>
      </c>
      <c r="B279" s="74">
        <v>3172</v>
      </c>
      <c r="C279" t="str">
        <f>VLOOKUP(B279,'Waste Lookups'!$B$1:$C$292,2,FALSE)</f>
        <v>Clayton Health Centre</v>
      </c>
      <c r="D279" s="84">
        <v>354.81818181818181</v>
      </c>
      <c r="E279" s="84">
        <v>794.8145454545454</v>
      </c>
      <c r="F279" s="84">
        <v>0</v>
      </c>
      <c r="G279" s="84">
        <v>0</v>
      </c>
      <c r="H279" s="84">
        <v>306.21818181818179</v>
      </c>
      <c r="I279" s="84"/>
      <c r="J279" s="84">
        <v>292.720856781039</v>
      </c>
      <c r="K279" s="84">
        <v>655.71271893475603</v>
      </c>
      <c r="L279" s="84">
        <v>0</v>
      </c>
      <c r="M279" s="84">
        <v>0</v>
      </c>
      <c r="N279" s="84">
        <v>252.62642428420489</v>
      </c>
    </row>
    <row r="280" spans="1:14" x14ac:dyDescent="0.25">
      <c r="A280" s="74" t="s">
        <v>685</v>
      </c>
      <c r="B280" s="74">
        <v>3173</v>
      </c>
      <c r="C280" t="str">
        <f>VLOOKUP(B280,'Waste Lookups'!$B$1:$C$292,2,FALSE)</f>
        <v>The Cornerstone Centre</v>
      </c>
      <c r="D280" s="84">
        <v>564.62181818181818</v>
      </c>
      <c r="E280" s="84">
        <v>502.4727272727273</v>
      </c>
      <c r="F280" s="84">
        <v>0</v>
      </c>
      <c r="G280" s="84">
        <v>0</v>
      </c>
      <c r="H280" s="84">
        <v>178.90909090909091</v>
      </c>
      <c r="I280" s="84"/>
      <c r="J280" s="84">
        <v>220.86345990526803</v>
      </c>
      <c r="K280" s="84">
        <v>196.55256222803962</v>
      </c>
      <c r="L280" s="84">
        <v>0</v>
      </c>
      <c r="M280" s="84">
        <v>0</v>
      </c>
      <c r="N280" s="84">
        <v>69.983977866692342</v>
      </c>
    </row>
    <row r="281" spans="1:14" x14ac:dyDescent="0.25">
      <c r="A281" s="74" t="s">
        <v>1363</v>
      </c>
      <c r="B281" s="74">
        <v>3174</v>
      </c>
      <c r="C281" t="e">
        <f>VLOOKUP(B281,'Waste Lookups'!$B$1:$C$292,2,FALSE)</f>
        <v>#N/A</v>
      </c>
      <c r="D281" s="84">
        <v>0</v>
      </c>
      <c r="E281" s="84">
        <v>140.63999999999999</v>
      </c>
      <c r="F281" s="84">
        <v>0</v>
      </c>
      <c r="G281" s="84">
        <v>0</v>
      </c>
      <c r="H281" s="84">
        <v>48.894545454545451</v>
      </c>
      <c r="I281" s="84"/>
      <c r="J281" s="84">
        <v>0</v>
      </c>
      <c r="K281" s="84">
        <v>101.73950270519168</v>
      </c>
      <c r="L281" s="84">
        <v>0</v>
      </c>
      <c r="M281" s="84">
        <v>0</v>
      </c>
      <c r="N281" s="84">
        <v>35.370497294808345</v>
      </c>
    </row>
    <row r="282" spans="1:14" x14ac:dyDescent="0.25">
      <c r="A282" s="74" t="s">
        <v>1365</v>
      </c>
      <c r="B282" s="74">
        <v>3180</v>
      </c>
      <c r="C282" t="e">
        <f>VLOOKUP(B282,'Waste Lookups'!$B$1:$C$292,2,FALSE)</f>
        <v>#N/A</v>
      </c>
      <c r="D282" s="84">
        <v>0</v>
      </c>
      <c r="E282" s="84">
        <v>130.49454545454546</v>
      </c>
      <c r="F282" s="84">
        <v>0</v>
      </c>
      <c r="G282" s="84">
        <v>0</v>
      </c>
      <c r="H282" s="84">
        <v>209.82545454545453</v>
      </c>
      <c r="I282" s="84"/>
      <c r="J282" s="84">
        <v>0</v>
      </c>
      <c r="K282" s="84">
        <v>277.71119694832674</v>
      </c>
      <c r="L282" s="84">
        <v>0</v>
      </c>
      <c r="M282" s="84">
        <v>0</v>
      </c>
      <c r="N282" s="84">
        <v>446.53880305167326</v>
      </c>
    </row>
    <row r="283" spans="1:14" x14ac:dyDescent="0.25">
      <c r="A283" s="74" t="s">
        <v>686</v>
      </c>
      <c r="B283" s="74">
        <v>3181</v>
      </c>
      <c r="C283" t="str">
        <f>VLOOKUP(B283,'Waste Lookups'!$B$1:$C$292,2,FALSE)</f>
        <v>Harpurhey Health Centre</v>
      </c>
      <c r="D283" s="84">
        <v>1061.4327272727273</v>
      </c>
      <c r="E283" s="84">
        <v>1678.4181818181819</v>
      </c>
      <c r="F283" s="84">
        <v>0</v>
      </c>
      <c r="G283" s="84">
        <v>0</v>
      </c>
      <c r="H283" s="84">
        <v>159.53454545454545</v>
      </c>
      <c r="I283" s="84"/>
      <c r="J283" s="84">
        <v>832.30303224131512</v>
      </c>
      <c r="K283" s="84">
        <v>1316.1008759222957</v>
      </c>
      <c r="L283" s="84">
        <v>0</v>
      </c>
      <c r="M283" s="84">
        <v>0</v>
      </c>
      <c r="N283" s="84">
        <v>125.09609183638914</v>
      </c>
    </row>
    <row r="284" spans="1:14" x14ac:dyDescent="0.25">
      <c r="A284" s="74" t="s">
        <v>687</v>
      </c>
      <c r="B284" s="74">
        <v>3185</v>
      </c>
      <c r="C284" t="str">
        <f>VLOOKUP(B284,'Waste Lookups'!$B$1:$C$292,2,FALSE)</f>
        <v>Levenshulme Health Centre</v>
      </c>
      <c r="D284" s="84">
        <v>0</v>
      </c>
      <c r="E284" s="84">
        <v>757.51636363636362</v>
      </c>
      <c r="F284" s="84">
        <v>1035.3818181818183</v>
      </c>
      <c r="G284" s="84">
        <v>0</v>
      </c>
      <c r="H284" s="84">
        <v>106.38545454545454</v>
      </c>
      <c r="I284" s="84"/>
      <c r="J284" s="84">
        <v>0</v>
      </c>
      <c r="K284" s="84">
        <v>600.96895721449027</v>
      </c>
      <c r="L284" s="84">
        <v>821.41107632925718</v>
      </c>
      <c r="M284" s="84">
        <v>0</v>
      </c>
      <c r="N284" s="84">
        <v>84.399966456252386</v>
      </c>
    </row>
    <row r="285" spans="1:14" x14ac:dyDescent="0.25">
      <c r="A285" s="74" t="s">
        <v>1369</v>
      </c>
      <c r="B285" s="74">
        <v>3186</v>
      </c>
      <c r="C285" t="e">
        <f>VLOOKUP(B285,'Waste Lookups'!$B$1:$C$292,2,FALSE)</f>
        <v>#N/A</v>
      </c>
      <c r="D285" s="84">
        <v>846.40363636363634</v>
      </c>
      <c r="E285" s="84">
        <v>1472.8145454545454</v>
      </c>
      <c r="F285" s="84">
        <v>0</v>
      </c>
      <c r="G285" s="84">
        <v>0</v>
      </c>
      <c r="H285" s="84">
        <v>159.53454545454545</v>
      </c>
      <c r="I285" s="84"/>
      <c r="J285" s="84">
        <v>597.82067573574398</v>
      </c>
      <c r="K285" s="84">
        <v>1040.2589839758118</v>
      </c>
      <c r="L285" s="84">
        <v>0</v>
      </c>
      <c r="M285" s="84">
        <v>0</v>
      </c>
      <c r="N285" s="84">
        <v>112.6803402884442</v>
      </c>
    </row>
    <row r="286" spans="1:14" x14ac:dyDescent="0.25">
      <c r="A286" s="74" t="s">
        <v>688</v>
      </c>
      <c r="B286" s="74">
        <v>3188</v>
      </c>
      <c r="C286" t="str">
        <f>VLOOKUP(B286,'Waste Lookups'!$B$1:$C$292,2,FALSE)</f>
        <v>Moss Side Health Centre</v>
      </c>
      <c r="D286" s="84">
        <v>736.51636363636362</v>
      </c>
      <c r="E286" s="84">
        <v>1597.56</v>
      </c>
      <c r="F286" s="84">
        <v>0</v>
      </c>
      <c r="G286" s="84">
        <v>0</v>
      </c>
      <c r="H286" s="84">
        <v>106.38545454545454</v>
      </c>
      <c r="I286" s="84"/>
      <c r="J286" s="84">
        <v>420.83944964216903</v>
      </c>
      <c r="K286" s="84">
        <v>912.83276837319909</v>
      </c>
      <c r="L286" s="84">
        <v>0</v>
      </c>
      <c r="M286" s="84">
        <v>0</v>
      </c>
      <c r="N286" s="84">
        <v>60.78778198463182</v>
      </c>
    </row>
    <row r="287" spans="1:14" x14ac:dyDescent="0.25">
      <c r="A287" s="74" t="s">
        <v>1372</v>
      </c>
      <c r="B287" s="74">
        <v>3190</v>
      </c>
      <c r="C287" t="e">
        <f>VLOOKUP(B287,'Waste Lookups'!$B$1:$C$292,2,FALSE)</f>
        <v>#N/A</v>
      </c>
      <c r="D287" s="84">
        <v>905.95636363636368</v>
      </c>
      <c r="E287" s="84">
        <v>1406.1927272727273</v>
      </c>
      <c r="F287" s="84">
        <v>0</v>
      </c>
      <c r="G287" s="84">
        <v>0</v>
      </c>
      <c r="H287" s="84">
        <v>361.81090909090909</v>
      </c>
      <c r="I287" s="84"/>
      <c r="J287" s="84">
        <v>378.45419426958176</v>
      </c>
      <c r="K287" s="84">
        <v>587.4229233863565</v>
      </c>
      <c r="L287" s="84">
        <v>0</v>
      </c>
      <c r="M287" s="84">
        <v>0</v>
      </c>
      <c r="N287" s="84">
        <v>151.14288234406172</v>
      </c>
    </row>
    <row r="288" spans="1:14" x14ac:dyDescent="0.25">
      <c r="A288" s="74" t="s">
        <v>1374</v>
      </c>
      <c r="B288" s="74">
        <v>3191</v>
      </c>
      <c r="C288" t="e">
        <f>VLOOKUP(B288,'Waste Lookups'!$B$1:$C$292,2,FALSE)</f>
        <v>#N/A</v>
      </c>
      <c r="D288" s="84">
        <v>0</v>
      </c>
      <c r="E288" s="84">
        <v>0</v>
      </c>
      <c r="F288" s="84">
        <v>0</v>
      </c>
      <c r="G288" s="84">
        <v>0</v>
      </c>
      <c r="H288" s="84">
        <v>105.86181818181819</v>
      </c>
      <c r="I288" s="84"/>
      <c r="J288" s="84">
        <v>0</v>
      </c>
      <c r="K288" s="84">
        <v>0</v>
      </c>
      <c r="L288" s="84">
        <v>0</v>
      </c>
      <c r="M288" s="84">
        <v>0</v>
      </c>
      <c r="N288" s="84">
        <v>742.43</v>
      </c>
    </row>
    <row r="289" spans="1:14" x14ac:dyDescent="0.25">
      <c r="A289" s="74" t="s">
        <v>689</v>
      </c>
      <c r="B289" s="74">
        <v>3197</v>
      </c>
      <c r="C289" t="str">
        <f>VLOOKUP(B289,'Waste Lookups'!$B$1:$C$292,2,FALSE)</f>
        <v>Northenden Health Centre</v>
      </c>
      <c r="D289" s="84">
        <v>773.18181818181824</v>
      </c>
      <c r="E289" s="84">
        <v>1375.1127272727272</v>
      </c>
      <c r="F289" s="84">
        <v>0</v>
      </c>
      <c r="G289" s="84">
        <v>0</v>
      </c>
      <c r="H289" s="84">
        <v>159.53454545454545</v>
      </c>
      <c r="I289" s="84"/>
      <c r="J289" s="84">
        <v>356.25281846930528</v>
      </c>
      <c r="K289" s="84">
        <v>633.5997216746789</v>
      </c>
      <c r="L289" s="84">
        <v>0</v>
      </c>
      <c r="M289" s="84">
        <v>0</v>
      </c>
      <c r="N289" s="84">
        <v>73.507459856015814</v>
      </c>
    </row>
    <row r="290" spans="1:14" x14ac:dyDescent="0.25">
      <c r="A290" s="74" t="s">
        <v>1377</v>
      </c>
      <c r="B290" s="74">
        <v>3198</v>
      </c>
      <c r="C290" t="e">
        <f>VLOOKUP(B290,'Waste Lookups'!$B$1:$C$292,2,FALSE)</f>
        <v>#N/A</v>
      </c>
      <c r="D290" s="84">
        <v>194.82545454545453</v>
      </c>
      <c r="E290" s="84">
        <v>3441.9381818181819</v>
      </c>
      <c r="F290" s="84">
        <v>0</v>
      </c>
      <c r="G290" s="84">
        <v>0</v>
      </c>
      <c r="H290" s="84">
        <v>13.09090909090909</v>
      </c>
      <c r="I290" s="84"/>
      <c r="J290" s="84">
        <v>8.74827841707266</v>
      </c>
      <c r="K290" s="84">
        <v>154.55389840691035</v>
      </c>
      <c r="L290" s="84">
        <v>0</v>
      </c>
      <c r="M290" s="84">
        <v>0</v>
      </c>
      <c r="N290" s="84">
        <v>0.58782317601697687</v>
      </c>
    </row>
    <row r="291" spans="1:14" x14ac:dyDescent="0.25">
      <c r="A291" s="74" t="s">
        <v>753</v>
      </c>
      <c r="B291" s="74">
        <v>3199</v>
      </c>
      <c r="C291" t="str">
        <f>VLOOKUP(B291,'Waste Lookups'!$B$1:$C$292,2,FALSE)</f>
        <v>Parkway 1</v>
      </c>
      <c r="D291" s="84">
        <v>0</v>
      </c>
      <c r="E291" s="84">
        <v>10883.269090909091</v>
      </c>
      <c r="F291" s="84">
        <v>0</v>
      </c>
      <c r="G291" s="84">
        <v>0</v>
      </c>
      <c r="H291" s="84">
        <v>2576.7054545454544</v>
      </c>
      <c r="I291" s="84"/>
      <c r="J291" s="84">
        <v>0</v>
      </c>
      <c r="K291" s="84">
        <v>3015.5202329249305</v>
      </c>
      <c r="L291" s="84">
        <v>0</v>
      </c>
      <c r="M291" s="84">
        <v>0</v>
      </c>
      <c r="N291" s="84">
        <v>713.94976707506942</v>
      </c>
    </row>
    <row r="292" spans="1:14" x14ac:dyDescent="0.25">
      <c r="A292" s="74" t="s">
        <v>754</v>
      </c>
      <c r="B292" s="74">
        <v>3200</v>
      </c>
      <c r="C292" t="str">
        <f>VLOOKUP(B292,'Waste Lookups'!$B$1:$C$292,2,FALSE)</f>
        <v>Parkway 3</v>
      </c>
      <c r="D292" s="84">
        <v>76.538181818181812</v>
      </c>
      <c r="E292" s="84">
        <v>11842.821818181817</v>
      </c>
      <c r="F292" s="84">
        <v>0</v>
      </c>
      <c r="G292" s="84">
        <v>0</v>
      </c>
      <c r="H292" s="84">
        <v>658.4727272727273</v>
      </c>
      <c r="I292" s="84"/>
      <c r="J292" s="84">
        <v>63.295325872010331</v>
      </c>
      <c r="K292" s="84">
        <v>9793.7427884902281</v>
      </c>
      <c r="L292" s="84">
        <v>0</v>
      </c>
      <c r="M292" s="84">
        <v>0</v>
      </c>
      <c r="N292" s="84">
        <v>544.54188563776279</v>
      </c>
    </row>
    <row r="293" spans="1:14" x14ac:dyDescent="0.25">
      <c r="A293" s="74" t="s">
        <v>1381</v>
      </c>
      <c r="B293" s="74">
        <v>3201</v>
      </c>
      <c r="C293" t="e">
        <f>VLOOKUP(B293,'Waste Lookups'!$B$1:$C$292,2,FALSE)</f>
        <v>#N/A</v>
      </c>
      <c r="D293" s="84">
        <v>0</v>
      </c>
      <c r="E293" s="84">
        <v>72.523636363636371</v>
      </c>
      <c r="F293" s="84">
        <v>0</v>
      </c>
      <c r="G293" s="84">
        <v>0</v>
      </c>
      <c r="H293" s="84">
        <v>105.6</v>
      </c>
      <c r="I293" s="84"/>
      <c r="J293" s="84">
        <v>0</v>
      </c>
      <c r="K293" s="84">
        <v>340.80364527192557</v>
      </c>
      <c r="L293" s="84">
        <v>0</v>
      </c>
      <c r="M293" s="84">
        <v>0</v>
      </c>
      <c r="N293" s="84">
        <v>496.23635472807439</v>
      </c>
    </row>
    <row r="294" spans="1:14" x14ac:dyDescent="0.25">
      <c r="A294" s="74" t="s">
        <v>1383</v>
      </c>
      <c r="B294" s="74">
        <v>3202</v>
      </c>
      <c r="C294" t="e">
        <f>VLOOKUP(B294,'Waste Lookups'!$B$1:$C$292,2,FALSE)</f>
        <v>#N/A</v>
      </c>
      <c r="D294" s="84">
        <v>0</v>
      </c>
      <c r="E294" s="84">
        <v>31.418181818181818</v>
      </c>
      <c r="F294" s="84">
        <v>0</v>
      </c>
      <c r="G294" s="84">
        <v>0</v>
      </c>
      <c r="H294" s="84">
        <v>56.290909090909096</v>
      </c>
      <c r="I294" s="84"/>
      <c r="J294" s="84">
        <v>0</v>
      </c>
      <c r="K294" s="84">
        <v>67.486567164179107</v>
      </c>
      <c r="L294" s="84">
        <v>0</v>
      </c>
      <c r="M294" s="84">
        <v>0</v>
      </c>
      <c r="N294" s="84">
        <v>120.9134328358209</v>
      </c>
    </row>
    <row r="295" spans="1:14" x14ac:dyDescent="0.25">
      <c r="A295" s="74" t="s">
        <v>1385</v>
      </c>
      <c r="B295" s="74">
        <v>3204</v>
      </c>
      <c r="C295" t="e">
        <f>VLOOKUP(B295,'Waste Lookups'!$B$1:$C$292,2,FALSE)</f>
        <v>#N/A</v>
      </c>
      <c r="D295" s="84">
        <v>393.26181818181817</v>
      </c>
      <c r="E295" s="84">
        <v>2587.6036363636363</v>
      </c>
      <c r="F295" s="84">
        <v>0</v>
      </c>
      <c r="G295" s="84">
        <v>0</v>
      </c>
      <c r="H295" s="84">
        <v>159.53454545454545</v>
      </c>
      <c r="I295" s="84"/>
      <c r="J295" s="84">
        <v>120.78487501302672</v>
      </c>
      <c r="K295" s="84">
        <v>794.74631746969112</v>
      </c>
      <c r="L295" s="84">
        <v>0</v>
      </c>
      <c r="M295" s="84">
        <v>0</v>
      </c>
      <c r="N295" s="84">
        <v>48.998807517282103</v>
      </c>
    </row>
    <row r="296" spans="1:14" x14ac:dyDescent="0.25">
      <c r="A296" s="74" t="s">
        <v>1387</v>
      </c>
      <c r="B296" s="74">
        <v>3205</v>
      </c>
      <c r="C296" t="e">
        <f>VLOOKUP(B296,'Waste Lookups'!$B$1:$C$292,2,FALSE)</f>
        <v>#N/A</v>
      </c>
      <c r="D296" s="84">
        <v>0</v>
      </c>
      <c r="E296" s="84">
        <v>114.66545454545454</v>
      </c>
      <c r="F296" s="84">
        <v>0</v>
      </c>
      <c r="G296" s="84">
        <v>0</v>
      </c>
      <c r="H296" s="84">
        <v>0</v>
      </c>
      <c r="I296" s="84"/>
      <c r="J296" s="84">
        <v>0</v>
      </c>
      <c r="K296" s="84">
        <v>427.51</v>
      </c>
      <c r="L296" s="84">
        <v>0</v>
      </c>
      <c r="M296" s="84">
        <v>0</v>
      </c>
      <c r="N296" s="84">
        <v>0</v>
      </c>
    </row>
    <row r="297" spans="1:14" x14ac:dyDescent="0.25">
      <c r="A297" s="74" t="s">
        <v>690</v>
      </c>
      <c r="B297" s="74">
        <v>3206</v>
      </c>
      <c r="C297" t="str">
        <f>VLOOKUP(B297,'Waste Lookups'!$B$1:$C$292,2,FALSE)</f>
        <v>Rusholme Health Centre</v>
      </c>
      <c r="D297" s="84">
        <v>1160.9236363636364</v>
      </c>
      <c r="E297" s="84">
        <v>1986.4036363636365</v>
      </c>
      <c r="F297" s="84">
        <v>0</v>
      </c>
      <c r="G297" s="84">
        <v>270.70909090909089</v>
      </c>
      <c r="H297" s="84">
        <v>159.53454545454545</v>
      </c>
      <c r="I297" s="84"/>
      <c r="J297" s="84">
        <v>464.0292599956091</v>
      </c>
      <c r="K297" s="84">
        <v>793.97936312297225</v>
      </c>
      <c r="L297" s="84">
        <v>0</v>
      </c>
      <c r="M297" s="84">
        <v>108.20430835752445</v>
      </c>
      <c r="N297" s="84">
        <v>63.767068523894324</v>
      </c>
    </row>
    <row r="298" spans="1:14" x14ac:dyDescent="0.25">
      <c r="A298" s="74" t="s">
        <v>692</v>
      </c>
      <c r="B298" s="74">
        <v>3208</v>
      </c>
      <c r="C298" t="str">
        <f>VLOOKUP(B298,'Waste Lookups'!$B$1:$C$292,2,FALSE)</f>
        <v>Wythenshawe Offices</v>
      </c>
      <c r="D298" s="84">
        <v>0</v>
      </c>
      <c r="E298" s="84">
        <v>254.24727272727273</v>
      </c>
      <c r="F298" s="84">
        <v>229.09090909090907</v>
      </c>
      <c r="G298" s="84">
        <v>0</v>
      </c>
      <c r="H298" s="84">
        <v>387.33818181818185</v>
      </c>
      <c r="I298" s="84"/>
      <c r="J298" s="84">
        <v>0</v>
      </c>
      <c r="K298" s="84">
        <v>324.38359093870588</v>
      </c>
      <c r="L298" s="84">
        <v>292.28762592091408</v>
      </c>
      <c r="M298" s="84">
        <v>0</v>
      </c>
      <c r="N298" s="84">
        <v>494.18878314037983</v>
      </c>
    </row>
    <row r="299" spans="1:14" x14ac:dyDescent="0.25">
      <c r="A299" s="74" t="s">
        <v>683</v>
      </c>
      <c r="B299" s="74">
        <v>3209</v>
      </c>
      <c r="C299" t="str">
        <f>VLOOKUP(B299,'Waste Lookups'!$B$1:$C$292,2,FALSE)</f>
        <v>City Works Business Park</v>
      </c>
      <c r="D299" s="84">
        <v>0</v>
      </c>
      <c r="E299" s="84">
        <v>352.27636363636367</v>
      </c>
      <c r="F299" s="84">
        <v>0</v>
      </c>
      <c r="G299" s="84">
        <v>0</v>
      </c>
      <c r="H299" s="84">
        <v>423.44727272727278</v>
      </c>
      <c r="I299" s="84"/>
      <c r="J299" s="84">
        <v>0</v>
      </c>
      <c r="K299" s="84">
        <v>344.73167744838838</v>
      </c>
      <c r="L299" s="84">
        <v>0</v>
      </c>
      <c r="M299" s="84">
        <v>0</v>
      </c>
      <c r="N299" s="84">
        <v>414.37832255161169</v>
      </c>
    </row>
    <row r="300" spans="1:14" x14ac:dyDescent="0.25">
      <c r="A300" s="74" t="s">
        <v>1392</v>
      </c>
      <c r="B300" s="74">
        <v>3211</v>
      </c>
      <c r="C300" t="e">
        <f>VLOOKUP(B300,'Waste Lookups'!$B$1:$C$292,2,FALSE)</f>
        <v>#N/A</v>
      </c>
      <c r="D300" s="84">
        <v>140.12727272727273</v>
      </c>
      <c r="E300" s="84">
        <v>404.23636363636365</v>
      </c>
      <c r="F300" s="84">
        <v>0</v>
      </c>
      <c r="G300" s="84">
        <v>0</v>
      </c>
      <c r="H300" s="84">
        <v>108.21818181818182</v>
      </c>
      <c r="I300" s="84"/>
      <c r="J300" s="84">
        <v>10.564593781344032</v>
      </c>
      <c r="K300" s="84">
        <v>30.476529588766297</v>
      </c>
      <c r="L300" s="84">
        <v>0</v>
      </c>
      <c r="M300" s="84">
        <v>0</v>
      </c>
      <c r="N300" s="84">
        <v>8.1588766298896687</v>
      </c>
    </row>
    <row r="301" spans="1:14" x14ac:dyDescent="0.25">
      <c r="A301" s="74" t="s">
        <v>1394</v>
      </c>
      <c r="B301" s="74">
        <v>3213</v>
      </c>
      <c r="C301" t="e">
        <f>VLOOKUP(B301,'Waste Lookups'!$B$1:$C$292,2,FALSE)</f>
        <v>#N/A</v>
      </c>
      <c r="D301" s="84">
        <v>0</v>
      </c>
      <c r="E301" s="84">
        <v>0</v>
      </c>
      <c r="F301" s="84">
        <v>0</v>
      </c>
      <c r="G301" s="84">
        <v>0</v>
      </c>
      <c r="H301" s="84">
        <v>214.95272727272726</v>
      </c>
      <c r="I301" s="84"/>
      <c r="J301" s="84">
        <v>0</v>
      </c>
      <c r="K301" s="84">
        <v>0</v>
      </c>
      <c r="L301" s="84">
        <v>0</v>
      </c>
      <c r="M301" s="84">
        <v>0</v>
      </c>
      <c r="N301" s="84">
        <v>486.24</v>
      </c>
    </row>
    <row r="302" spans="1:14" x14ac:dyDescent="0.25">
      <c r="A302" s="74" t="s">
        <v>691</v>
      </c>
      <c r="B302" s="74">
        <v>3216</v>
      </c>
      <c r="C302" t="str">
        <f>VLOOKUP(B302,'Waste Lookups'!$B$1:$C$292,2,FALSE)</f>
        <v>Withington Clinic</v>
      </c>
      <c r="D302" s="84">
        <v>517.5381818181819</v>
      </c>
      <c r="E302" s="84">
        <v>683.35636363636365</v>
      </c>
      <c r="F302" s="84">
        <v>0</v>
      </c>
      <c r="G302" s="84">
        <v>0</v>
      </c>
      <c r="H302" s="84">
        <v>268.62545454545455</v>
      </c>
      <c r="I302" s="84"/>
      <c r="J302" s="84">
        <v>260.27642896381752</v>
      </c>
      <c r="K302" s="84">
        <v>343.66846792273543</v>
      </c>
      <c r="L302" s="84">
        <v>0</v>
      </c>
      <c r="M302" s="84">
        <v>0</v>
      </c>
      <c r="N302" s="84">
        <v>135.09510311344704</v>
      </c>
    </row>
    <row r="303" spans="1:14" x14ac:dyDescent="0.25">
      <c r="A303" s="74" t="s">
        <v>1397</v>
      </c>
      <c r="B303" s="74">
        <v>3227</v>
      </c>
      <c r="C303" t="e">
        <f>VLOOKUP(B303,'Waste Lookups'!$B$1:$C$292,2,FALSE)</f>
        <v>#N/A</v>
      </c>
      <c r="D303" s="84">
        <v>49.090909090909093</v>
      </c>
      <c r="E303" s="84">
        <v>1836.5454545454545</v>
      </c>
      <c r="F303" s="84">
        <v>0</v>
      </c>
      <c r="G303" s="84">
        <v>0</v>
      </c>
      <c r="H303" s="84">
        <v>0</v>
      </c>
      <c r="I303" s="84"/>
      <c r="J303" s="84">
        <v>0</v>
      </c>
      <c r="K303" s="84">
        <v>0</v>
      </c>
      <c r="L303" s="84">
        <v>0</v>
      </c>
      <c r="M303" s="84">
        <v>0</v>
      </c>
      <c r="N303" s="84">
        <v>0</v>
      </c>
    </row>
    <row r="304" spans="1:14" x14ac:dyDescent="0.25">
      <c r="A304" s="74" t="s">
        <v>1399</v>
      </c>
      <c r="B304" s="74">
        <v>3239</v>
      </c>
      <c r="C304" t="e">
        <f>VLOOKUP(B304,'Waste Lookups'!$B$1:$C$292,2,FALSE)</f>
        <v>#N/A</v>
      </c>
      <c r="D304" s="84">
        <v>0</v>
      </c>
      <c r="E304" s="84">
        <v>875.38909090909101</v>
      </c>
      <c r="F304" s="84">
        <v>0</v>
      </c>
      <c r="G304" s="84">
        <v>248.72727272727272</v>
      </c>
      <c r="H304" s="84">
        <v>0</v>
      </c>
      <c r="I304" s="84"/>
      <c r="J304" s="84">
        <v>0</v>
      </c>
      <c r="K304" s="84">
        <v>729.1142843833702</v>
      </c>
      <c r="L304" s="84">
        <v>0</v>
      </c>
      <c r="M304" s="84">
        <v>207.16571561662977</v>
      </c>
      <c r="N304" s="84">
        <v>0</v>
      </c>
    </row>
    <row r="305" spans="1:14" x14ac:dyDescent="0.25">
      <c r="A305" s="74" t="s">
        <v>1401</v>
      </c>
      <c r="B305" s="74">
        <v>3240</v>
      </c>
      <c r="C305" t="e">
        <f>VLOOKUP(B305,'Waste Lookups'!$B$1:$C$292,2,FALSE)</f>
        <v>#N/A</v>
      </c>
      <c r="D305" s="84">
        <v>1173.4472727272728</v>
      </c>
      <c r="E305" s="84">
        <v>1521.6981818181819</v>
      </c>
      <c r="F305" s="84">
        <v>0</v>
      </c>
      <c r="G305" s="84">
        <v>508.28727272727275</v>
      </c>
      <c r="H305" s="84">
        <v>0</v>
      </c>
      <c r="I305" s="84"/>
      <c r="J305" s="84">
        <v>1170.2593825941262</v>
      </c>
      <c r="K305" s="84">
        <v>1517.5642026167384</v>
      </c>
      <c r="L305" s="84">
        <v>0</v>
      </c>
      <c r="M305" s="84">
        <v>506.90641478913528</v>
      </c>
      <c r="N305" s="84">
        <v>0</v>
      </c>
    </row>
    <row r="306" spans="1:14" x14ac:dyDescent="0.25">
      <c r="A306" s="74" t="s">
        <v>1403</v>
      </c>
      <c r="B306" s="74">
        <v>3241</v>
      </c>
      <c r="C306" t="e">
        <f>VLOOKUP(B306,'Waste Lookups'!$B$1:$C$292,2,FALSE)</f>
        <v>#N/A</v>
      </c>
      <c r="D306" s="84">
        <v>1617.1636363636367</v>
      </c>
      <c r="E306" s="84">
        <v>459.52363636363634</v>
      </c>
      <c r="F306" s="84">
        <v>0</v>
      </c>
      <c r="G306" s="84">
        <v>301.09090909090907</v>
      </c>
      <c r="H306" s="84">
        <v>0</v>
      </c>
      <c r="I306" s="84"/>
      <c r="J306" s="84">
        <v>1101.0932828048799</v>
      </c>
      <c r="K306" s="84">
        <v>312.88014268476758</v>
      </c>
      <c r="L306" s="84">
        <v>0</v>
      </c>
      <c r="M306" s="84">
        <v>205.00657451035264</v>
      </c>
      <c r="N306" s="84">
        <v>0</v>
      </c>
    </row>
    <row r="307" spans="1:14" x14ac:dyDescent="0.25">
      <c r="A307" s="74" t="s">
        <v>1405</v>
      </c>
      <c r="B307" s="74">
        <v>3245</v>
      </c>
      <c r="C307" t="e">
        <f>VLOOKUP(B307,'Waste Lookups'!$B$1:$C$292,2,FALSE)</f>
        <v>#N/A</v>
      </c>
      <c r="D307" s="84">
        <v>3498.4581818181823</v>
      </c>
      <c r="E307" s="84">
        <v>1734.3272727272729</v>
      </c>
      <c r="F307" s="84">
        <v>0</v>
      </c>
      <c r="G307" s="84">
        <v>345.6</v>
      </c>
      <c r="H307" s="84">
        <v>0</v>
      </c>
      <c r="I307" s="84"/>
      <c r="J307" s="84">
        <v>3614.8090272845316</v>
      </c>
      <c r="K307" s="84">
        <v>1792.007094525884</v>
      </c>
      <c r="L307" s="84">
        <v>0</v>
      </c>
      <c r="M307" s="84">
        <v>357.09387818958362</v>
      </c>
      <c r="N307" s="84">
        <v>0</v>
      </c>
    </row>
    <row r="308" spans="1:14" x14ac:dyDescent="0.25">
      <c r="A308" s="74" t="s">
        <v>1407</v>
      </c>
      <c r="B308" s="74">
        <v>3248</v>
      </c>
      <c r="C308" t="e">
        <f>VLOOKUP(B308,'Waste Lookups'!$B$1:$C$292,2,FALSE)</f>
        <v>#N/A</v>
      </c>
      <c r="D308" s="84">
        <v>1088.4000000000001</v>
      </c>
      <c r="E308" s="84">
        <v>850.49454545454546</v>
      </c>
      <c r="F308" s="84">
        <v>0</v>
      </c>
      <c r="G308" s="84">
        <v>340.36363636363637</v>
      </c>
      <c r="H308" s="84">
        <v>0</v>
      </c>
      <c r="I308" s="84"/>
      <c r="J308" s="84">
        <v>1019.0787399728142</v>
      </c>
      <c r="K308" s="84">
        <v>796.32571640533752</v>
      </c>
      <c r="L308" s="84">
        <v>0</v>
      </c>
      <c r="M308" s="84">
        <v>318.6855436218483</v>
      </c>
      <c r="N308" s="84">
        <v>0</v>
      </c>
    </row>
    <row r="309" spans="1:14" x14ac:dyDescent="0.25">
      <c r="A309" s="74" t="s">
        <v>1409</v>
      </c>
      <c r="B309" s="74">
        <v>3249</v>
      </c>
      <c r="C309" t="e">
        <f>VLOOKUP(B309,'Waste Lookups'!$B$1:$C$292,2,FALSE)</f>
        <v>#N/A</v>
      </c>
      <c r="D309" s="84">
        <v>2131.3200000000002</v>
      </c>
      <c r="E309" s="84">
        <v>3342.0981818181817</v>
      </c>
      <c r="F309" s="84">
        <v>0</v>
      </c>
      <c r="G309" s="84">
        <v>698.40000000000009</v>
      </c>
      <c r="H309" s="84">
        <v>0</v>
      </c>
      <c r="I309" s="84"/>
      <c r="J309" s="84">
        <v>2059.6402770658419</v>
      </c>
      <c r="K309" s="84">
        <v>3229.6980393283247</v>
      </c>
      <c r="L309" s="84">
        <v>0</v>
      </c>
      <c r="M309" s="84">
        <v>674.9116836058331</v>
      </c>
      <c r="N309" s="84">
        <v>0</v>
      </c>
    </row>
    <row r="310" spans="1:14" x14ac:dyDescent="0.25">
      <c r="A310" s="74" t="s">
        <v>1411</v>
      </c>
      <c r="B310" s="74">
        <v>3250</v>
      </c>
      <c r="C310" t="e">
        <f>VLOOKUP(B310,'Waste Lookups'!$B$1:$C$292,2,FALSE)</f>
        <v>#N/A</v>
      </c>
      <c r="D310" s="84">
        <v>585.41454545454542</v>
      </c>
      <c r="E310" s="84">
        <v>1591.7454545454543</v>
      </c>
      <c r="F310" s="84">
        <v>0</v>
      </c>
      <c r="G310" s="84">
        <v>721.61454545454546</v>
      </c>
      <c r="H310" s="84">
        <v>0</v>
      </c>
      <c r="I310" s="84"/>
      <c r="J310" s="84">
        <v>492.59831304262741</v>
      </c>
      <c r="K310" s="84">
        <v>1339.3775945446537</v>
      </c>
      <c r="L310" s="84">
        <v>0</v>
      </c>
      <c r="M310" s="84">
        <v>607.20409241271864</v>
      </c>
      <c r="N310" s="84">
        <v>0</v>
      </c>
    </row>
    <row r="311" spans="1:14" x14ac:dyDescent="0.25">
      <c r="A311" s="74" t="s">
        <v>1413</v>
      </c>
      <c r="B311" s="74">
        <v>3251</v>
      </c>
      <c r="C311" t="e">
        <f>VLOOKUP(B311,'Waste Lookups'!$B$1:$C$292,2,FALSE)</f>
        <v>#N/A</v>
      </c>
      <c r="D311" s="84">
        <v>372.77454545454543</v>
      </c>
      <c r="E311" s="84">
        <v>859.29818181818177</v>
      </c>
      <c r="F311" s="84">
        <v>0</v>
      </c>
      <c r="G311" s="84">
        <v>331.20000000000005</v>
      </c>
      <c r="H311" s="84">
        <v>0</v>
      </c>
      <c r="I311" s="84"/>
      <c r="J311" s="84">
        <v>329.20288939288207</v>
      </c>
      <c r="K311" s="84">
        <v>758.85933670621068</v>
      </c>
      <c r="L311" s="84">
        <v>0</v>
      </c>
      <c r="M311" s="84">
        <v>292.4877739009072</v>
      </c>
      <c r="N311" s="84">
        <v>0</v>
      </c>
    </row>
    <row r="312" spans="1:14" x14ac:dyDescent="0.25">
      <c r="A312" s="74" t="s">
        <v>1415</v>
      </c>
      <c r="B312" s="74">
        <v>3253</v>
      </c>
      <c r="C312" t="e">
        <f>VLOOKUP(B312,'Waste Lookups'!$B$1:$C$292,2,FALSE)</f>
        <v>#N/A</v>
      </c>
      <c r="D312" s="84">
        <v>1994.8036363636361</v>
      </c>
      <c r="E312" s="84">
        <v>1781.5854545454545</v>
      </c>
      <c r="F312" s="84">
        <v>0</v>
      </c>
      <c r="G312" s="84">
        <v>320.72727272727275</v>
      </c>
      <c r="H312" s="84">
        <v>0</v>
      </c>
      <c r="I312" s="84"/>
      <c r="J312" s="84">
        <v>1308.9571562615656</v>
      </c>
      <c r="K312" s="84">
        <v>1169.0469115395574</v>
      </c>
      <c r="L312" s="84">
        <v>0</v>
      </c>
      <c r="M312" s="84">
        <v>210.45593219887692</v>
      </c>
      <c r="N312" s="84">
        <v>0</v>
      </c>
    </row>
    <row r="313" spans="1:14" x14ac:dyDescent="0.25">
      <c r="A313" s="74" t="s">
        <v>1417</v>
      </c>
      <c r="B313" s="74">
        <v>3254</v>
      </c>
      <c r="C313" t="e">
        <f>VLOOKUP(B313,'Waste Lookups'!$B$1:$C$292,2,FALSE)</f>
        <v>#N/A</v>
      </c>
      <c r="D313" s="84">
        <v>2800.7890909090906</v>
      </c>
      <c r="E313" s="84">
        <v>2071.3418181818179</v>
      </c>
      <c r="F313" s="84">
        <v>0</v>
      </c>
      <c r="G313" s="84">
        <v>114.99272727272727</v>
      </c>
      <c r="H313" s="84">
        <v>0</v>
      </c>
      <c r="I313" s="84"/>
      <c r="J313" s="84">
        <v>1857.9436182634699</v>
      </c>
      <c r="K313" s="84">
        <v>1374.0543066325715</v>
      </c>
      <c r="L313" s="84">
        <v>0</v>
      </c>
      <c r="M313" s="84">
        <v>76.282075103958633</v>
      </c>
      <c r="N313" s="84">
        <v>0</v>
      </c>
    </row>
    <row r="314" spans="1:14" x14ac:dyDescent="0.25">
      <c r="A314" s="74" t="s">
        <v>1419</v>
      </c>
      <c r="B314" s="74">
        <v>3256</v>
      </c>
      <c r="C314" t="e">
        <f>VLOOKUP(B314,'Waste Lookups'!$B$1:$C$292,2,FALSE)</f>
        <v>#N/A</v>
      </c>
      <c r="D314" s="84">
        <v>3685.6145454545454</v>
      </c>
      <c r="E314" s="84">
        <v>0</v>
      </c>
      <c r="F314" s="84">
        <v>0</v>
      </c>
      <c r="G314" s="84">
        <v>0</v>
      </c>
      <c r="H314" s="84">
        <v>0</v>
      </c>
      <c r="I314" s="84"/>
      <c r="J314" s="84">
        <v>3529.28</v>
      </c>
      <c r="K314" s="84">
        <v>0</v>
      </c>
      <c r="L314" s="84">
        <v>0</v>
      </c>
      <c r="M314" s="84">
        <v>0</v>
      </c>
      <c r="N314" s="84">
        <v>0</v>
      </c>
    </row>
    <row r="315" spans="1:14" x14ac:dyDescent="0.25">
      <c r="A315" s="74" t="s">
        <v>1421</v>
      </c>
      <c r="B315" s="74">
        <v>3257</v>
      </c>
      <c r="C315" t="e">
        <f>VLOOKUP(B315,'Waste Lookups'!$B$1:$C$292,2,FALSE)</f>
        <v>#N/A</v>
      </c>
      <c r="D315" s="84">
        <v>2527.9418181818182</v>
      </c>
      <c r="E315" s="84">
        <v>5794.7018181818185</v>
      </c>
      <c r="F315" s="84">
        <v>0</v>
      </c>
      <c r="G315" s="84">
        <v>2347.4072727272728</v>
      </c>
      <c r="H315" s="84">
        <v>0</v>
      </c>
      <c r="I315" s="84"/>
      <c r="J315" s="84">
        <v>2702.8662867144876</v>
      </c>
      <c r="K315" s="84">
        <v>6195.6743123113674</v>
      </c>
      <c r="L315" s="84">
        <v>0</v>
      </c>
      <c r="M315" s="84">
        <v>2509.8394009741455</v>
      </c>
      <c r="N315" s="84">
        <v>0</v>
      </c>
    </row>
    <row r="316" spans="1:14" x14ac:dyDescent="0.25">
      <c r="A316" s="74" t="s">
        <v>1423</v>
      </c>
      <c r="B316" s="74">
        <v>3258</v>
      </c>
      <c r="C316" t="e">
        <f>VLOOKUP(B316,'Waste Lookups'!$B$1:$C$292,2,FALSE)</f>
        <v>#N/A</v>
      </c>
      <c r="D316" s="84">
        <v>1963.5490909090909</v>
      </c>
      <c r="E316" s="84">
        <v>1655.8254545454545</v>
      </c>
      <c r="F316" s="84">
        <v>0</v>
      </c>
      <c r="G316" s="84">
        <v>360</v>
      </c>
      <c r="H316" s="84">
        <v>0</v>
      </c>
      <c r="I316" s="84"/>
      <c r="J316" s="84">
        <v>1297.02439678049</v>
      </c>
      <c r="K316" s="84">
        <v>1093.7572283264251</v>
      </c>
      <c r="L316" s="84">
        <v>0</v>
      </c>
      <c r="M316" s="84">
        <v>237.79837489308508</v>
      </c>
      <c r="N316" s="84">
        <v>0</v>
      </c>
    </row>
    <row r="317" spans="1:14" x14ac:dyDescent="0.25">
      <c r="A317" s="74" t="s">
        <v>1425</v>
      </c>
      <c r="B317" s="74">
        <v>3259</v>
      </c>
      <c r="C317" t="e">
        <f>VLOOKUP(B317,'Waste Lookups'!$B$1:$C$292,2,FALSE)</f>
        <v>#N/A</v>
      </c>
      <c r="D317" s="84">
        <v>3939.6763636363639</v>
      </c>
      <c r="E317" s="84">
        <v>0</v>
      </c>
      <c r="F317" s="84">
        <v>0</v>
      </c>
      <c r="G317" s="84">
        <v>0</v>
      </c>
      <c r="H317" s="84">
        <v>0</v>
      </c>
      <c r="I317" s="84"/>
      <c r="J317" s="84">
        <v>4146.46</v>
      </c>
      <c r="K317" s="84">
        <v>0</v>
      </c>
      <c r="L317" s="84">
        <v>0</v>
      </c>
      <c r="M317" s="84">
        <v>0</v>
      </c>
      <c r="N317" s="84">
        <v>0</v>
      </c>
    </row>
    <row r="318" spans="1:14" x14ac:dyDescent="0.25">
      <c r="A318" s="74" t="s">
        <v>1427</v>
      </c>
      <c r="B318" s="74">
        <v>3260</v>
      </c>
      <c r="C318" t="e">
        <f>VLOOKUP(B318,'Waste Lookups'!$B$1:$C$292,2,FALSE)</f>
        <v>#N/A</v>
      </c>
      <c r="D318" s="84">
        <v>1740.5781818181817</v>
      </c>
      <c r="E318" s="84">
        <v>1428.4799999999998</v>
      </c>
      <c r="F318" s="84">
        <v>0</v>
      </c>
      <c r="G318" s="84">
        <v>962.18181818181824</v>
      </c>
      <c r="H318" s="84">
        <v>0</v>
      </c>
      <c r="I318" s="84"/>
      <c r="J318" s="84">
        <v>959.33949817400196</v>
      </c>
      <c r="K318" s="84">
        <v>787.32302901792195</v>
      </c>
      <c r="L318" s="84">
        <v>0</v>
      </c>
      <c r="M318" s="84">
        <v>530.3174728080761</v>
      </c>
      <c r="N318" s="84">
        <v>0</v>
      </c>
    </row>
    <row r="319" spans="1:14" x14ac:dyDescent="0.25">
      <c r="A319" s="74" t="s">
        <v>1429</v>
      </c>
      <c r="B319" s="74">
        <v>3261</v>
      </c>
      <c r="C319" t="e">
        <f>VLOOKUP(B319,'Waste Lookups'!$B$1:$C$292,2,FALSE)</f>
        <v>#N/A</v>
      </c>
      <c r="D319" s="84">
        <v>3325.8981818181815</v>
      </c>
      <c r="E319" s="84">
        <v>4821.3490909090906</v>
      </c>
      <c r="F319" s="84">
        <v>0</v>
      </c>
      <c r="G319" s="84">
        <v>684</v>
      </c>
      <c r="H319" s="84">
        <v>0</v>
      </c>
      <c r="I319" s="84"/>
      <c r="J319" s="84">
        <v>3895.7262500633074</v>
      </c>
      <c r="K319" s="84">
        <v>5647.3936324489114</v>
      </c>
      <c r="L319" s="84">
        <v>0</v>
      </c>
      <c r="M319" s="84">
        <v>801.19011748777984</v>
      </c>
      <c r="N319" s="84">
        <v>0</v>
      </c>
    </row>
    <row r="320" spans="1:14" x14ac:dyDescent="0.25">
      <c r="A320" s="74" t="s">
        <v>677</v>
      </c>
      <c r="B320" s="74">
        <v>3262</v>
      </c>
      <c r="C320" t="str">
        <f>VLOOKUP(B320,'Waste Lookups'!$B$1:$C$292,2,FALSE)</f>
        <v>St Peters House</v>
      </c>
      <c r="D320" s="84">
        <v>0</v>
      </c>
      <c r="E320" s="84">
        <v>2771.3999999999996</v>
      </c>
      <c r="F320" s="84">
        <v>0</v>
      </c>
      <c r="G320" s="84">
        <v>0</v>
      </c>
      <c r="H320" s="84">
        <v>0</v>
      </c>
      <c r="I320" s="84"/>
      <c r="J320" s="84">
        <v>0</v>
      </c>
      <c r="K320" s="84">
        <v>3748.92</v>
      </c>
      <c r="L320" s="84">
        <v>0</v>
      </c>
      <c r="M320" s="84">
        <v>0</v>
      </c>
      <c r="N320" s="84">
        <v>0</v>
      </c>
    </row>
    <row r="321" spans="1:14" x14ac:dyDescent="0.25">
      <c r="A321" s="74" t="s">
        <v>1432</v>
      </c>
      <c r="B321" s="74">
        <v>3264</v>
      </c>
      <c r="C321" t="e">
        <f>VLOOKUP(B321,'Waste Lookups'!$B$1:$C$292,2,FALSE)</f>
        <v>#N/A</v>
      </c>
      <c r="D321" s="84">
        <v>938.26909090909089</v>
      </c>
      <c r="E321" s="84">
        <v>885.01090909090908</v>
      </c>
      <c r="F321" s="84">
        <v>0</v>
      </c>
      <c r="G321" s="84">
        <v>345.6</v>
      </c>
      <c r="H321" s="84">
        <v>0</v>
      </c>
      <c r="I321" s="84"/>
      <c r="J321" s="84">
        <v>952.38500347058061</v>
      </c>
      <c r="K321" s="84">
        <v>898.32557194161382</v>
      </c>
      <c r="L321" s="84">
        <v>0</v>
      </c>
      <c r="M321" s="84">
        <v>350.79942458780573</v>
      </c>
      <c r="N321" s="84">
        <v>0</v>
      </c>
    </row>
    <row r="322" spans="1:14" x14ac:dyDescent="0.25">
      <c r="A322" s="74" t="s">
        <v>1434</v>
      </c>
      <c r="B322" s="74">
        <v>3265</v>
      </c>
      <c r="C322" t="e">
        <f>VLOOKUP(B322,'Waste Lookups'!$B$1:$C$292,2,FALSE)</f>
        <v>#N/A</v>
      </c>
      <c r="D322" s="84">
        <v>4798.1018181818181</v>
      </c>
      <c r="E322" s="84">
        <v>5195.8363636363647</v>
      </c>
      <c r="F322" s="84">
        <v>0</v>
      </c>
      <c r="G322" s="84">
        <v>1612.6690909090908</v>
      </c>
      <c r="H322" s="84">
        <v>0</v>
      </c>
      <c r="I322" s="84"/>
      <c r="J322" s="84">
        <v>4152.2533639616549</v>
      </c>
      <c r="K322" s="84">
        <v>4496.450854325295</v>
      </c>
      <c r="L322" s="84">
        <v>0</v>
      </c>
      <c r="M322" s="84">
        <v>1395.5957817130491</v>
      </c>
      <c r="N322" s="84">
        <v>0</v>
      </c>
    </row>
    <row r="323" spans="1:14" x14ac:dyDescent="0.25">
      <c r="A323" s="74" t="s">
        <v>1436</v>
      </c>
      <c r="B323" s="74">
        <v>3266</v>
      </c>
      <c r="C323" t="e">
        <f>VLOOKUP(B323,'Waste Lookups'!$B$1:$C$292,2,FALSE)</f>
        <v>#N/A</v>
      </c>
      <c r="D323" s="84">
        <v>586.87636363636364</v>
      </c>
      <c r="E323" s="84">
        <v>954.56727272727278</v>
      </c>
      <c r="F323" s="84">
        <v>0</v>
      </c>
      <c r="G323" s="84">
        <v>320.72727272727275</v>
      </c>
      <c r="H323" s="84">
        <v>0</v>
      </c>
      <c r="I323" s="84"/>
      <c r="J323" s="84">
        <v>350.28449856179589</v>
      </c>
      <c r="K323" s="84">
        <v>569.74541690343824</v>
      </c>
      <c r="L323" s="84">
        <v>0</v>
      </c>
      <c r="M323" s="84">
        <v>191.43008453476591</v>
      </c>
      <c r="N323" s="84">
        <v>0</v>
      </c>
    </row>
    <row r="324" spans="1:14" x14ac:dyDescent="0.25">
      <c r="A324" s="74" t="s">
        <v>678</v>
      </c>
      <c r="B324" s="74">
        <v>3283</v>
      </c>
      <c r="C324" t="str">
        <f>VLOOKUP(B324,'Waste Lookups'!$B$1:$C$292,2,FALSE)</f>
        <v>Silver Street Health Centre</v>
      </c>
      <c r="D324" s="84">
        <v>0</v>
      </c>
      <c r="E324" s="84">
        <v>1597.8000000000002</v>
      </c>
      <c r="F324" s="84">
        <v>0</v>
      </c>
      <c r="G324" s="84">
        <v>0</v>
      </c>
      <c r="H324" s="84">
        <v>2285.0181818181818</v>
      </c>
      <c r="I324" s="84"/>
      <c r="J324" s="84">
        <v>0</v>
      </c>
      <c r="K324" s="84">
        <v>3672.3508838940788</v>
      </c>
      <c r="L324" s="84">
        <v>0</v>
      </c>
      <c r="M324" s="84">
        <v>0</v>
      </c>
      <c r="N324" s="84">
        <v>5251.8391161059208</v>
      </c>
    </row>
    <row r="325" spans="1:14" x14ac:dyDescent="0.25">
      <c r="A325" s="74" t="s">
        <v>1439</v>
      </c>
      <c r="B325" s="74">
        <v>3286</v>
      </c>
      <c r="C325" t="e">
        <f>VLOOKUP(B325,'Waste Lookups'!$B$1:$C$292,2,FALSE)</f>
        <v>#N/A</v>
      </c>
      <c r="D325" s="84">
        <v>0</v>
      </c>
      <c r="E325" s="84">
        <v>0</v>
      </c>
      <c r="F325" s="84">
        <v>0</v>
      </c>
      <c r="G325" s="84">
        <v>0</v>
      </c>
      <c r="H325" s="84">
        <v>0</v>
      </c>
      <c r="I325" s="84"/>
      <c r="J325" s="84">
        <v>0</v>
      </c>
      <c r="K325" s="84">
        <v>0</v>
      </c>
      <c r="L325" s="84">
        <v>0</v>
      </c>
      <c r="M325" s="84">
        <v>0</v>
      </c>
      <c r="N325" s="84">
        <v>0</v>
      </c>
    </row>
    <row r="326" spans="1:14" x14ac:dyDescent="0.25">
      <c r="A326" s="74" t="s">
        <v>1441</v>
      </c>
      <c r="B326" s="74">
        <v>3287</v>
      </c>
      <c r="C326" t="e">
        <f>VLOOKUP(B326,'Waste Lookups'!$B$1:$C$292,2,FALSE)</f>
        <v>#N/A</v>
      </c>
      <c r="D326" s="84">
        <v>144.39272727272729</v>
      </c>
      <c r="E326" s="84">
        <v>1352.4109090909089</v>
      </c>
      <c r="F326" s="84">
        <v>0</v>
      </c>
      <c r="G326" s="84">
        <v>0</v>
      </c>
      <c r="H326" s="84">
        <v>824.72727272727275</v>
      </c>
      <c r="I326" s="84"/>
      <c r="J326" s="84">
        <v>129.36458274398868</v>
      </c>
      <c r="K326" s="84">
        <v>1211.6543281471002</v>
      </c>
      <c r="L326" s="84">
        <v>0</v>
      </c>
      <c r="M326" s="84">
        <v>0</v>
      </c>
      <c r="N326" s="84">
        <v>738.89108910891093</v>
      </c>
    </row>
    <row r="327" spans="1:14" x14ac:dyDescent="0.25">
      <c r="A327" s="74" t="s">
        <v>1443</v>
      </c>
      <c r="B327" s="74">
        <v>3288</v>
      </c>
      <c r="C327" t="e">
        <f>VLOOKUP(B327,'Waste Lookups'!$B$1:$C$292,2,FALSE)</f>
        <v>#N/A</v>
      </c>
      <c r="D327" s="84">
        <v>3470.8145454545456</v>
      </c>
      <c r="E327" s="84">
        <v>4413.818181818182</v>
      </c>
      <c r="F327" s="84">
        <v>0</v>
      </c>
      <c r="G327" s="84">
        <v>441.81818181818187</v>
      </c>
      <c r="H327" s="84">
        <v>1758.1090909090908</v>
      </c>
      <c r="I327" s="84"/>
      <c r="J327" s="84">
        <v>7207.2672627750653</v>
      </c>
      <c r="K327" s="84">
        <v>9165.4471505314705</v>
      </c>
      <c r="L327" s="84">
        <v>0</v>
      </c>
      <c r="M327" s="84">
        <v>917.45083933891385</v>
      </c>
      <c r="N327" s="84">
        <v>3650.7747473545514</v>
      </c>
    </row>
    <row r="328" spans="1:14" x14ac:dyDescent="0.25">
      <c r="A328" s="74" t="s">
        <v>1445</v>
      </c>
      <c r="B328" s="74">
        <v>3291</v>
      </c>
      <c r="C328" t="e">
        <f>VLOOKUP(B328,'Waste Lookups'!$B$1:$C$292,2,FALSE)</f>
        <v>#N/A</v>
      </c>
      <c r="D328" s="84">
        <v>1625.149090909091</v>
      </c>
      <c r="E328" s="84">
        <v>2100.2290909090907</v>
      </c>
      <c r="F328" s="84">
        <v>0</v>
      </c>
      <c r="G328" s="84">
        <v>0</v>
      </c>
      <c r="H328" s="84">
        <v>1703.1272727272728</v>
      </c>
      <c r="I328" s="84"/>
      <c r="J328" s="84">
        <v>2902.8154274908416</v>
      </c>
      <c r="K328" s="84">
        <v>3751.39575837046</v>
      </c>
      <c r="L328" s="84">
        <v>0</v>
      </c>
      <c r="M328" s="84">
        <v>0</v>
      </c>
      <c r="N328" s="84">
        <v>3042.0988141386983</v>
      </c>
    </row>
    <row r="329" spans="1:14" x14ac:dyDescent="0.25">
      <c r="A329" s="74" t="s">
        <v>1447</v>
      </c>
      <c r="B329" s="74">
        <v>3292</v>
      </c>
      <c r="C329" t="e">
        <f>VLOOKUP(B329,'Waste Lookups'!$B$1:$C$292,2,FALSE)</f>
        <v>#N/A</v>
      </c>
      <c r="D329" s="84">
        <v>0</v>
      </c>
      <c r="E329" s="84">
        <v>0</v>
      </c>
      <c r="F329" s="84">
        <v>0</v>
      </c>
      <c r="G329" s="84">
        <v>0</v>
      </c>
      <c r="H329" s="84">
        <v>420.21818181818179</v>
      </c>
      <c r="I329" s="84"/>
      <c r="J329" s="84">
        <v>0</v>
      </c>
      <c r="K329" s="84">
        <v>0</v>
      </c>
      <c r="L329" s="84">
        <v>0</v>
      </c>
      <c r="M329" s="84">
        <v>0</v>
      </c>
      <c r="N329" s="84">
        <v>7085.5</v>
      </c>
    </row>
    <row r="330" spans="1:14" x14ac:dyDescent="0.25">
      <c r="A330" s="74" t="s">
        <v>1449</v>
      </c>
      <c r="B330" s="74">
        <v>3294</v>
      </c>
      <c r="C330" t="e">
        <f>VLOOKUP(B330,'Waste Lookups'!$B$1:$C$292,2,FALSE)</f>
        <v>#N/A</v>
      </c>
      <c r="D330" s="84">
        <v>231.25090909090909</v>
      </c>
      <c r="E330" s="84">
        <v>1536.2945454545454</v>
      </c>
      <c r="F330" s="84">
        <v>0</v>
      </c>
      <c r="G330" s="84">
        <v>0</v>
      </c>
      <c r="H330" s="84">
        <v>962.18181818181824</v>
      </c>
      <c r="I330" s="84"/>
      <c r="J330" s="84">
        <v>274.0300553501848</v>
      </c>
      <c r="K330" s="84">
        <v>1820.4939430512534</v>
      </c>
      <c r="L330" s="84">
        <v>0</v>
      </c>
      <c r="M330" s="84">
        <v>0</v>
      </c>
      <c r="N330" s="84">
        <v>1140.1760015985612</v>
      </c>
    </row>
    <row r="331" spans="1:14" x14ac:dyDescent="0.25">
      <c r="A331" s="74" t="s">
        <v>1451</v>
      </c>
      <c r="B331" s="74">
        <v>3296</v>
      </c>
      <c r="C331" t="e">
        <f>VLOOKUP(B331,'Waste Lookups'!$B$1:$C$292,2,FALSE)</f>
        <v>#N/A</v>
      </c>
      <c r="D331" s="84">
        <v>144.77454545454546</v>
      </c>
      <c r="E331" s="84">
        <v>1008.349090909091</v>
      </c>
      <c r="F331" s="84">
        <v>0</v>
      </c>
      <c r="G331" s="84">
        <v>0</v>
      </c>
      <c r="H331" s="84">
        <v>916.36363636363626</v>
      </c>
      <c r="I331" s="84"/>
      <c r="J331" s="84">
        <v>95.891777304523387</v>
      </c>
      <c r="K331" s="84">
        <v>667.88250770941954</v>
      </c>
      <c r="L331" s="84">
        <v>0</v>
      </c>
      <c r="M331" s="84">
        <v>0</v>
      </c>
      <c r="N331" s="84">
        <v>606.95571498605705</v>
      </c>
    </row>
    <row r="332" spans="1:14" x14ac:dyDescent="0.25">
      <c r="A332" s="74" t="s">
        <v>1453</v>
      </c>
      <c r="B332" s="74">
        <v>3297</v>
      </c>
      <c r="C332" t="e">
        <f>VLOOKUP(B332,'Waste Lookups'!$B$1:$C$292,2,FALSE)</f>
        <v>#N/A</v>
      </c>
      <c r="D332" s="84">
        <v>2007.3600000000001</v>
      </c>
      <c r="E332" s="84">
        <v>1413.6654545454546</v>
      </c>
      <c r="F332" s="84">
        <v>0</v>
      </c>
      <c r="G332" s="84">
        <v>0</v>
      </c>
      <c r="H332" s="84">
        <v>844.36363636363626</v>
      </c>
      <c r="I332" s="84"/>
      <c r="J332" s="84">
        <v>5183.3684201803617</v>
      </c>
      <c r="K332" s="84">
        <v>3650.3411813480516</v>
      </c>
      <c r="L332" s="84">
        <v>0</v>
      </c>
      <c r="M332" s="84">
        <v>0</v>
      </c>
      <c r="N332" s="84">
        <v>2180.3003984715879</v>
      </c>
    </row>
    <row r="333" spans="1:14" x14ac:dyDescent="0.25">
      <c r="A333" s="74" t="s">
        <v>1455</v>
      </c>
      <c r="B333" s="74">
        <v>3298</v>
      </c>
      <c r="C333" t="e">
        <f>VLOOKUP(B333,'Waste Lookups'!$B$1:$C$292,2,FALSE)</f>
        <v>#N/A</v>
      </c>
      <c r="D333" s="84">
        <v>0</v>
      </c>
      <c r="E333" s="84">
        <v>6199.44</v>
      </c>
      <c r="F333" s="84">
        <v>0</v>
      </c>
      <c r="G333" s="84">
        <v>0</v>
      </c>
      <c r="H333" s="84">
        <v>2832.8727272727274</v>
      </c>
      <c r="I333" s="84"/>
      <c r="J333" s="84">
        <v>0</v>
      </c>
      <c r="K333" s="84">
        <v>8119.1869465023747</v>
      </c>
      <c r="L333" s="84">
        <v>0</v>
      </c>
      <c r="M333" s="84">
        <v>0</v>
      </c>
      <c r="N333" s="84">
        <v>3710.1130534976242</v>
      </c>
    </row>
    <row r="334" spans="1:14" x14ac:dyDescent="0.25">
      <c r="A334" s="74" t="s">
        <v>1457</v>
      </c>
      <c r="B334" s="74">
        <v>3299</v>
      </c>
      <c r="C334" t="e">
        <f>VLOOKUP(B334,'Waste Lookups'!$B$1:$C$292,2,FALSE)</f>
        <v>#N/A</v>
      </c>
      <c r="D334" s="84">
        <v>867.03272727272724</v>
      </c>
      <c r="E334" s="84">
        <v>632.19272727272732</v>
      </c>
      <c r="F334" s="84">
        <v>0</v>
      </c>
      <c r="G334" s="84">
        <v>0</v>
      </c>
      <c r="H334" s="84">
        <v>0</v>
      </c>
      <c r="I334" s="84"/>
      <c r="J334" s="84">
        <v>3721.3069806227213</v>
      </c>
      <c r="K334" s="84">
        <v>2713.3730193772785</v>
      </c>
      <c r="L334" s="84">
        <v>0</v>
      </c>
      <c r="M334" s="84">
        <v>0</v>
      </c>
      <c r="N334" s="84">
        <v>0</v>
      </c>
    </row>
    <row r="335" spans="1:14" x14ac:dyDescent="0.25">
      <c r="A335" s="74" t="s">
        <v>1459</v>
      </c>
      <c r="B335" s="74">
        <v>3313</v>
      </c>
      <c r="C335" t="e">
        <f>VLOOKUP(B335,'Waste Lookups'!$B$1:$C$292,2,FALSE)</f>
        <v>#N/A</v>
      </c>
      <c r="D335" s="84">
        <v>0</v>
      </c>
      <c r="E335" s="84">
        <v>422.68363636363631</v>
      </c>
      <c r="F335" s="84">
        <v>0</v>
      </c>
      <c r="G335" s="84">
        <v>0</v>
      </c>
      <c r="H335" s="84">
        <v>0</v>
      </c>
      <c r="I335" s="84"/>
      <c r="J335" s="84">
        <v>0</v>
      </c>
      <c r="K335" s="84">
        <v>792.8</v>
      </c>
      <c r="L335" s="84">
        <v>0</v>
      </c>
      <c r="M335" s="84">
        <v>0</v>
      </c>
      <c r="N335" s="84">
        <v>0</v>
      </c>
    </row>
    <row r="336" spans="1:14" x14ac:dyDescent="0.25">
      <c r="A336" s="74" t="s">
        <v>1461</v>
      </c>
      <c r="B336" s="74">
        <v>3314</v>
      </c>
      <c r="C336" t="e">
        <f>VLOOKUP(B336,'Waste Lookups'!$B$1:$C$292,2,FALSE)</f>
        <v>#N/A</v>
      </c>
      <c r="D336" s="84">
        <v>0</v>
      </c>
      <c r="E336" s="84">
        <v>0</v>
      </c>
      <c r="F336" s="84">
        <v>0</v>
      </c>
      <c r="G336" s="84">
        <v>0</v>
      </c>
      <c r="H336" s="84">
        <v>0</v>
      </c>
      <c r="I336" s="84"/>
      <c r="J336" s="84">
        <v>0</v>
      </c>
      <c r="K336" s="84">
        <v>0</v>
      </c>
      <c r="L336" s="84">
        <v>0</v>
      </c>
      <c r="M336" s="84">
        <v>0</v>
      </c>
      <c r="N336" s="84">
        <v>0</v>
      </c>
    </row>
    <row r="337" spans="1:14" x14ac:dyDescent="0.25">
      <c r="A337" s="74" t="s">
        <v>1463</v>
      </c>
      <c r="B337" s="74">
        <v>3315</v>
      </c>
      <c r="C337" t="e">
        <f>VLOOKUP(B337,'Waste Lookups'!$B$1:$C$292,2,FALSE)</f>
        <v>#N/A</v>
      </c>
      <c r="D337" s="84">
        <v>0</v>
      </c>
      <c r="E337" s="84">
        <v>1024.9963636363636</v>
      </c>
      <c r="F337" s="84">
        <v>0</v>
      </c>
      <c r="G337" s="84">
        <v>0</v>
      </c>
      <c r="H337" s="84">
        <v>0</v>
      </c>
      <c r="I337" s="84"/>
      <c r="J337" s="84">
        <v>0</v>
      </c>
      <c r="K337" s="84">
        <v>0</v>
      </c>
      <c r="L337" s="84">
        <v>0</v>
      </c>
      <c r="M337" s="84">
        <v>0</v>
      </c>
      <c r="N337" s="84">
        <v>0</v>
      </c>
    </row>
    <row r="338" spans="1:14" x14ac:dyDescent="0.25">
      <c r="A338" s="74" t="s">
        <v>1465</v>
      </c>
      <c r="B338" s="74">
        <v>3319</v>
      </c>
      <c r="C338" t="e">
        <f>VLOOKUP(B338,'Waste Lookups'!$B$1:$C$292,2,FALSE)</f>
        <v>#N/A</v>
      </c>
      <c r="D338" s="84">
        <v>0</v>
      </c>
      <c r="E338" s="84">
        <v>0</v>
      </c>
      <c r="F338" s="84">
        <v>0</v>
      </c>
      <c r="G338" s="84">
        <v>0</v>
      </c>
      <c r="H338" s="84">
        <v>0</v>
      </c>
      <c r="I338" s="84"/>
      <c r="J338" s="84">
        <v>0</v>
      </c>
      <c r="K338" s="84">
        <v>0</v>
      </c>
      <c r="L338" s="84">
        <v>0</v>
      </c>
      <c r="M338" s="84">
        <v>0</v>
      </c>
      <c r="N338" s="84">
        <v>0</v>
      </c>
    </row>
    <row r="339" spans="1:14" x14ac:dyDescent="0.25">
      <c r="A339" s="74" t="s">
        <v>1467</v>
      </c>
      <c r="B339" s="74">
        <v>3320</v>
      </c>
      <c r="C339" t="e">
        <f>VLOOKUP(B339,'Waste Lookups'!$B$1:$C$292,2,FALSE)</f>
        <v>#N/A</v>
      </c>
      <c r="D339" s="84">
        <v>2014.8000000000002</v>
      </c>
      <c r="E339" s="84">
        <v>2889.7527272727275</v>
      </c>
      <c r="F339" s="84">
        <v>0</v>
      </c>
      <c r="G339" s="84">
        <v>0</v>
      </c>
      <c r="H339" s="84">
        <v>141.27272727272728</v>
      </c>
      <c r="I339" s="84"/>
      <c r="J339" s="84">
        <v>2537.0587554644635</v>
      </c>
      <c r="K339" s="84">
        <v>3638.8090420163708</v>
      </c>
      <c r="L339" s="84">
        <v>0</v>
      </c>
      <c r="M339" s="84">
        <v>0</v>
      </c>
      <c r="N339" s="84">
        <v>177.89220251916618</v>
      </c>
    </row>
    <row r="340" spans="1:14" x14ac:dyDescent="0.25">
      <c r="A340" s="74" t="s">
        <v>1469</v>
      </c>
      <c r="B340" s="74">
        <v>3323</v>
      </c>
      <c r="C340" t="e">
        <f>VLOOKUP(B340,'Waste Lookups'!$B$1:$C$292,2,FALSE)</f>
        <v>#N/A</v>
      </c>
      <c r="D340" s="84">
        <v>0</v>
      </c>
      <c r="E340" s="84">
        <v>356.66181818181821</v>
      </c>
      <c r="F340" s="84">
        <v>0</v>
      </c>
      <c r="G340" s="84">
        <v>0</v>
      </c>
      <c r="H340" s="84">
        <v>0</v>
      </c>
      <c r="I340" s="84"/>
      <c r="J340" s="84">
        <v>0</v>
      </c>
      <c r="K340" s="84">
        <v>-326.94</v>
      </c>
      <c r="L340" s="84">
        <v>0</v>
      </c>
      <c r="M340" s="84">
        <v>0</v>
      </c>
      <c r="N340" s="84">
        <v>0</v>
      </c>
    </row>
    <row r="341" spans="1:14" x14ac:dyDescent="0.25">
      <c r="A341" s="74" t="s">
        <v>679</v>
      </c>
      <c r="B341" s="74">
        <v>3325</v>
      </c>
      <c r="C341" t="str">
        <f>VLOOKUP(B341,'Waste Lookups'!$B$1:$C$292,2,FALSE)</f>
        <v>Sherwood Business Park</v>
      </c>
      <c r="D341" s="84">
        <v>0</v>
      </c>
      <c r="E341" s="84">
        <v>2845.1018181818185</v>
      </c>
      <c r="F341" s="84">
        <v>0</v>
      </c>
      <c r="G341" s="84">
        <v>1308.3927272727271</v>
      </c>
      <c r="H341" s="84">
        <v>312</v>
      </c>
      <c r="I341" s="84"/>
      <c r="J341" s="84">
        <v>0</v>
      </c>
      <c r="K341" s="84">
        <v>1804.8817889172003</v>
      </c>
      <c r="L341" s="84">
        <v>0</v>
      </c>
      <c r="M341" s="84">
        <v>830.02098241790964</v>
      </c>
      <c r="N341" s="84">
        <v>197.92722866488978</v>
      </c>
    </row>
    <row r="342" spans="1:14" x14ac:dyDescent="0.25">
      <c r="A342" s="74" t="s">
        <v>1472</v>
      </c>
      <c r="B342" s="74">
        <v>3342</v>
      </c>
      <c r="C342" t="e">
        <f>VLOOKUP(B342,'Waste Lookups'!$B$1:$C$292,2,FALSE)</f>
        <v>#N/A</v>
      </c>
      <c r="D342" s="84">
        <v>0</v>
      </c>
      <c r="E342" s="84">
        <v>4558.1672727272726</v>
      </c>
      <c r="F342" s="84">
        <v>0</v>
      </c>
      <c r="G342" s="84">
        <v>0</v>
      </c>
      <c r="H342" s="84">
        <v>1598.4872727272727</v>
      </c>
      <c r="I342" s="84"/>
      <c r="J342" s="84">
        <v>0</v>
      </c>
      <c r="K342" s="84">
        <v>1811.6640542915873</v>
      </c>
      <c r="L342" s="84">
        <v>0</v>
      </c>
      <c r="M342" s="84">
        <v>0</v>
      </c>
      <c r="N342" s="84">
        <v>635.3259457084132</v>
      </c>
    </row>
    <row r="343" spans="1:14" x14ac:dyDescent="0.25">
      <c r="A343" s="74" t="s">
        <v>1474</v>
      </c>
      <c r="B343" s="74">
        <v>3344</v>
      </c>
      <c r="C343" t="e">
        <f>VLOOKUP(B343,'Waste Lookups'!$B$1:$C$292,2,FALSE)</f>
        <v>#N/A</v>
      </c>
      <c r="D343" s="84">
        <v>720.36</v>
      </c>
      <c r="E343" s="84">
        <v>1931.0727272727274</v>
      </c>
      <c r="F343" s="84">
        <v>0</v>
      </c>
      <c r="G343" s="84">
        <v>0</v>
      </c>
      <c r="H343" s="84">
        <v>1031.9672727272728</v>
      </c>
      <c r="I343" s="84"/>
      <c r="J343" s="84">
        <v>939.77703274148882</v>
      </c>
      <c r="K343" s="84">
        <v>2519.2650864073216</v>
      </c>
      <c r="L343" s="84">
        <v>0</v>
      </c>
      <c r="M343" s="84">
        <v>0</v>
      </c>
      <c r="N343" s="84">
        <v>1346.29788085119</v>
      </c>
    </row>
    <row r="344" spans="1:14" x14ac:dyDescent="0.25">
      <c r="A344" s="74" t="s">
        <v>1476</v>
      </c>
      <c r="B344" s="74">
        <v>3345</v>
      </c>
      <c r="C344" t="e">
        <f>VLOOKUP(B344,'Waste Lookups'!$B$1:$C$292,2,FALSE)</f>
        <v>#N/A</v>
      </c>
      <c r="D344" s="84">
        <v>2768.4981818181818</v>
      </c>
      <c r="E344" s="84">
        <v>2549.6727272727271</v>
      </c>
      <c r="F344" s="84">
        <v>0</v>
      </c>
      <c r="G344" s="84">
        <v>0</v>
      </c>
      <c r="H344" s="84">
        <v>0</v>
      </c>
      <c r="I344" s="84"/>
      <c r="J344" s="84">
        <v>2430.1614546081119</v>
      </c>
      <c r="K344" s="84">
        <v>2238.0785453918879</v>
      </c>
      <c r="L344" s="84">
        <v>0</v>
      </c>
      <c r="M344" s="84">
        <v>0</v>
      </c>
      <c r="N344" s="84">
        <v>0</v>
      </c>
    </row>
    <row r="345" spans="1:14" x14ac:dyDescent="0.25">
      <c r="A345" s="74" t="s">
        <v>1478</v>
      </c>
      <c r="B345" s="74">
        <v>3346</v>
      </c>
      <c r="C345" t="e">
        <f>VLOOKUP(B345,'Waste Lookups'!$B$1:$C$292,2,FALSE)</f>
        <v>#N/A</v>
      </c>
      <c r="D345" s="84">
        <v>0</v>
      </c>
      <c r="E345" s="84">
        <v>84.436363636363637</v>
      </c>
      <c r="F345" s="84">
        <v>0</v>
      </c>
      <c r="G345" s="84">
        <v>0</v>
      </c>
      <c r="H345" s="84">
        <v>0</v>
      </c>
      <c r="I345" s="84"/>
      <c r="J345" s="84">
        <v>0</v>
      </c>
      <c r="K345" s="84">
        <v>565.19999999999993</v>
      </c>
      <c r="L345" s="84">
        <v>0</v>
      </c>
      <c r="M345" s="84">
        <v>0</v>
      </c>
      <c r="N345" s="84">
        <v>0</v>
      </c>
    </row>
    <row r="346" spans="1:14" x14ac:dyDescent="0.25">
      <c r="A346" s="74" t="s">
        <v>1480</v>
      </c>
      <c r="B346" s="74">
        <v>3347</v>
      </c>
      <c r="C346" t="e">
        <f>VLOOKUP(B346,'Waste Lookups'!$B$1:$C$292,2,FALSE)</f>
        <v>#N/A</v>
      </c>
      <c r="D346" s="84">
        <v>1017.5563636363636</v>
      </c>
      <c r="E346" s="84">
        <v>0</v>
      </c>
      <c r="F346" s="84">
        <v>0</v>
      </c>
      <c r="G346" s="84">
        <v>0</v>
      </c>
      <c r="H346" s="84">
        <v>0</v>
      </c>
      <c r="I346" s="84"/>
      <c r="J346" s="84">
        <v>1597.09</v>
      </c>
      <c r="K346" s="84">
        <v>0</v>
      </c>
      <c r="L346" s="84">
        <v>0</v>
      </c>
      <c r="M346" s="84">
        <v>0</v>
      </c>
      <c r="N346" s="84">
        <v>0</v>
      </c>
    </row>
    <row r="347" spans="1:14" x14ac:dyDescent="0.25">
      <c r="A347" s="74" t="s">
        <v>1482</v>
      </c>
      <c r="B347" s="74">
        <v>3348</v>
      </c>
      <c r="C347" t="e">
        <f>VLOOKUP(B347,'Waste Lookups'!$B$1:$C$292,2,FALSE)</f>
        <v>#N/A</v>
      </c>
      <c r="D347" s="84">
        <v>1124.3672727272728</v>
      </c>
      <c r="E347" s="84">
        <v>1566.4472727272728</v>
      </c>
      <c r="F347" s="84">
        <v>0</v>
      </c>
      <c r="G347" s="84">
        <v>0</v>
      </c>
      <c r="H347" s="84">
        <v>0</v>
      </c>
      <c r="I347" s="84"/>
      <c r="J347" s="84">
        <v>1658.2948706305899</v>
      </c>
      <c r="K347" s="84">
        <v>2310.3051293694102</v>
      </c>
      <c r="L347" s="84">
        <v>0</v>
      </c>
      <c r="M347" s="84">
        <v>0</v>
      </c>
      <c r="N347" s="84">
        <v>0</v>
      </c>
    </row>
    <row r="348" spans="1:14" x14ac:dyDescent="0.25">
      <c r="A348" s="74" t="s">
        <v>1484</v>
      </c>
      <c r="B348" s="74">
        <v>3350</v>
      </c>
      <c r="C348" t="e">
        <f>VLOOKUP(B348,'Waste Lookups'!$B$1:$C$292,2,FALSE)</f>
        <v>#N/A</v>
      </c>
      <c r="D348" s="84">
        <v>0</v>
      </c>
      <c r="E348" s="84">
        <v>193.32</v>
      </c>
      <c r="F348" s="84">
        <v>0</v>
      </c>
      <c r="G348" s="84">
        <v>0</v>
      </c>
      <c r="H348" s="84">
        <v>0</v>
      </c>
      <c r="I348" s="84"/>
      <c r="J348" s="84">
        <v>0</v>
      </c>
      <c r="K348" s="84">
        <v>778.62</v>
      </c>
      <c r="L348" s="84">
        <v>0</v>
      </c>
      <c r="M348" s="84">
        <v>0</v>
      </c>
      <c r="N348" s="84">
        <v>0</v>
      </c>
    </row>
    <row r="349" spans="1:14" x14ac:dyDescent="0.25">
      <c r="A349" s="74" t="s">
        <v>1486</v>
      </c>
      <c r="B349" s="74">
        <v>3351</v>
      </c>
      <c r="C349" t="e">
        <f>VLOOKUP(B349,'Waste Lookups'!$B$1:$C$292,2,FALSE)</f>
        <v>#N/A</v>
      </c>
      <c r="D349" s="84">
        <v>0</v>
      </c>
      <c r="E349" s="84">
        <v>6387.7090909090903</v>
      </c>
      <c r="F349" s="84">
        <v>0</v>
      </c>
      <c r="G349" s="84">
        <v>0</v>
      </c>
      <c r="H349" s="84">
        <v>3754.8981818181815</v>
      </c>
      <c r="I349" s="84"/>
      <c r="J349" s="84">
        <v>0</v>
      </c>
      <c r="K349" s="84">
        <v>6550.1461552113014</v>
      </c>
      <c r="L349" s="84">
        <v>0</v>
      </c>
      <c r="M349" s="84">
        <v>0</v>
      </c>
      <c r="N349" s="84">
        <v>3850.3838447886992</v>
      </c>
    </row>
    <row r="350" spans="1:14" x14ac:dyDescent="0.25">
      <c r="A350" s="74" t="s">
        <v>1488</v>
      </c>
      <c r="B350" s="74">
        <v>3352</v>
      </c>
      <c r="C350" t="e">
        <f>VLOOKUP(B350,'Waste Lookups'!$B$1:$C$292,2,FALSE)</f>
        <v>#N/A</v>
      </c>
      <c r="D350" s="84">
        <v>4403.727272727273</v>
      </c>
      <c r="E350" s="84">
        <v>4091.7381818181821</v>
      </c>
      <c r="F350" s="84">
        <v>22.690909090909091</v>
      </c>
      <c r="G350" s="84">
        <v>0</v>
      </c>
      <c r="H350" s="84">
        <v>2549.8363636363633</v>
      </c>
      <c r="I350" s="84"/>
      <c r="J350" s="84">
        <v>4049.7725956221684</v>
      </c>
      <c r="K350" s="84">
        <v>3762.8599890396495</v>
      </c>
      <c r="L350" s="84">
        <v>20.867101006735886</v>
      </c>
      <c r="M350" s="84">
        <v>0</v>
      </c>
      <c r="N350" s="84">
        <v>2344.8903143314483</v>
      </c>
    </row>
    <row r="351" spans="1:14" x14ac:dyDescent="0.25">
      <c r="A351" s="74" t="s">
        <v>1490</v>
      </c>
      <c r="B351" s="74">
        <v>3354</v>
      </c>
      <c r="C351" t="e">
        <f>VLOOKUP(B351,'Waste Lookups'!$B$1:$C$292,2,FALSE)</f>
        <v>#N/A</v>
      </c>
      <c r="D351" s="84">
        <v>109.58181818181819</v>
      </c>
      <c r="E351" s="84">
        <v>1085.2472727272727</v>
      </c>
      <c r="F351" s="84">
        <v>0</v>
      </c>
      <c r="G351" s="84">
        <v>0</v>
      </c>
      <c r="H351" s="84">
        <v>0</v>
      </c>
      <c r="I351" s="84"/>
      <c r="J351" s="84">
        <v>190.45934846520464</v>
      </c>
      <c r="K351" s="84">
        <v>1886.2206515347957</v>
      </c>
      <c r="L351" s="84">
        <v>0</v>
      </c>
      <c r="M351" s="84">
        <v>0</v>
      </c>
      <c r="N351" s="84">
        <v>0</v>
      </c>
    </row>
    <row r="352" spans="1:14" x14ac:dyDescent="0.25">
      <c r="A352" s="74" t="s">
        <v>1492</v>
      </c>
      <c r="B352" s="74">
        <v>3355</v>
      </c>
      <c r="C352" t="e">
        <f>VLOOKUP(B352,'Waste Lookups'!$B$1:$C$292,2,FALSE)</f>
        <v>#N/A</v>
      </c>
      <c r="D352" s="84">
        <v>0</v>
      </c>
      <c r="E352" s="84">
        <v>2862.349090909091</v>
      </c>
      <c r="F352" s="84">
        <v>0</v>
      </c>
      <c r="G352" s="84">
        <v>0</v>
      </c>
      <c r="H352" s="84">
        <v>434.70545454545459</v>
      </c>
      <c r="I352" s="84"/>
      <c r="J352" s="84">
        <v>0</v>
      </c>
      <c r="K352" s="84">
        <v>8871.1559952354182</v>
      </c>
      <c r="L352" s="84">
        <v>0</v>
      </c>
      <c r="M352" s="84">
        <v>0</v>
      </c>
      <c r="N352" s="84">
        <v>1347.2640047645834</v>
      </c>
    </row>
    <row r="353" spans="1:14" x14ac:dyDescent="0.25">
      <c r="A353" s="74" t="s">
        <v>1494</v>
      </c>
      <c r="B353" s="74">
        <v>3356</v>
      </c>
      <c r="C353" t="e">
        <f>VLOOKUP(B353,'Waste Lookups'!$B$1:$C$292,2,FALSE)</f>
        <v>#N/A</v>
      </c>
      <c r="D353" s="84">
        <v>0</v>
      </c>
      <c r="E353" s="84">
        <v>1274.149090909091</v>
      </c>
      <c r="F353" s="84">
        <v>0</v>
      </c>
      <c r="G353" s="84">
        <v>0</v>
      </c>
      <c r="H353" s="84">
        <v>0</v>
      </c>
      <c r="I353" s="84"/>
      <c r="J353" s="84">
        <v>0</v>
      </c>
      <c r="K353" s="84">
        <v>2391.25</v>
      </c>
      <c r="L353" s="84">
        <v>0</v>
      </c>
      <c r="M353" s="84">
        <v>0</v>
      </c>
      <c r="N353" s="84">
        <v>0</v>
      </c>
    </row>
    <row r="354" spans="1:14" x14ac:dyDescent="0.25">
      <c r="A354" s="74" t="s">
        <v>1496</v>
      </c>
      <c r="B354" s="74">
        <v>3359</v>
      </c>
      <c r="C354" t="e">
        <f>VLOOKUP(B354,'Waste Lookups'!$B$1:$C$292,2,FALSE)</f>
        <v>#N/A</v>
      </c>
      <c r="D354" s="84">
        <v>2806.6145454545454</v>
      </c>
      <c r="E354" s="84">
        <v>1644.3818181818183</v>
      </c>
      <c r="F354" s="84">
        <v>0</v>
      </c>
      <c r="G354" s="84">
        <v>0</v>
      </c>
      <c r="H354" s="84">
        <v>0</v>
      </c>
      <c r="I354" s="84"/>
      <c r="J354" s="84">
        <v>929.07151558302769</v>
      </c>
      <c r="K354" s="84">
        <v>544.33848441697216</v>
      </c>
      <c r="L354" s="84">
        <v>0</v>
      </c>
      <c r="M354" s="84">
        <v>0</v>
      </c>
      <c r="N354" s="84">
        <v>0</v>
      </c>
    </row>
    <row r="355" spans="1:14" x14ac:dyDescent="0.25">
      <c r="A355" s="74" t="s">
        <v>1498</v>
      </c>
      <c r="B355" s="74">
        <v>3360</v>
      </c>
      <c r="C355" t="e">
        <f>VLOOKUP(B355,'Waste Lookups'!$B$1:$C$292,2,FALSE)</f>
        <v>#N/A</v>
      </c>
      <c r="D355" s="84">
        <v>0</v>
      </c>
      <c r="E355" s="84">
        <v>1623.9709090909091</v>
      </c>
      <c r="F355" s="84">
        <v>0</v>
      </c>
      <c r="G355" s="84">
        <v>0</v>
      </c>
      <c r="H355" s="84">
        <v>0</v>
      </c>
      <c r="I355" s="84"/>
      <c r="J355" s="84">
        <v>0</v>
      </c>
      <c r="K355" s="84">
        <v>5164.18</v>
      </c>
      <c r="L355" s="84">
        <v>0</v>
      </c>
      <c r="M355" s="84">
        <v>0</v>
      </c>
      <c r="N355" s="84">
        <v>0</v>
      </c>
    </row>
    <row r="356" spans="1:14" x14ac:dyDescent="0.25">
      <c r="A356" s="74" t="s">
        <v>1500</v>
      </c>
      <c r="B356" s="74">
        <v>3361</v>
      </c>
      <c r="C356" t="e">
        <f>VLOOKUP(B356,'Waste Lookups'!$B$1:$C$292,2,FALSE)</f>
        <v>#N/A</v>
      </c>
      <c r="D356" s="84">
        <v>0</v>
      </c>
      <c r="E356" s="84">
        <v>11879.98909090909</v>
      </c>
      <c r="F356" s="84">
        <v>0</v>
      </c>
      <c r="G356" s="84">
        <v>0</v>
      </c>
      <c r="H356" s="84">
        <v>3476.6618181818185</v>
      </c>
      <c r="I356" s="84"/>
      <c r="J356" s="84">
        <v>0</v>
      </c>
      <c r="K356" s="84">
        <v>29632.338511166847</v>
      </c>
      <c r="L356" s="84">
        <v>0</v>
      </c>
      <c r="M356" s="84">
        <v>0</v>
      </c>
      <c r="N356" s="84">
        <v>8671.8614888331467</v>
      </c>
    </row>
    <row r="357" spans="1:14" x14ac:dyDescent="0.25">
      <c r="A357" s="74" t="s">
        <v>1502</v>
      </c>
      <c r="B357" s="74">
        <v>3362</v>
      </c>
      <c r="C357" t="e">
        <f>VLOOKUP(B357,'Waste Lookups'!$B$1:$C$292,2,FALSE)</f>
        <v>#N/A</v>
      </c>
      <c r="D357" s="84">
        <v>0</v>
      </c>
      <c r="E357" s="84">
        <v>3168.7527272727275</v>
      </c>
      <c r="F357" s="84">
        <v>0</v>
      </c>
      <c r="G357" s="84">
        <v>0</v>
      </c>
      <c r="H357" s="84">
        <v>587.29090909090917</v>
      </c>
      <c r="I357" s="84"/>
      <c r="J357" s="84">
        <v>0</v>
      </c>
      <c r="K357" s="84">
        <v>9278.7695964031773</v>
      </c>
      <c r="L357" s="84">
        <v>0</v>
      </c>
      <c r="M357" s="84">
        <v>0</v>
      </c>
      <c r="N357" s="84">
        <v>1719.7104035968214</v>
      </c>
    </row>
    <row r="358" spans="1:14" x14ac:dyDescent="0.25">
      <c r="A358" s="74" t="s">
        <v>1504</v>
      </c>
      <c r="B358" s="74">
        <v>3365</v>
      </c>
      <c r="C358" t="e">
        <f>VLOOKUP(B358,'Waste Lookups'!$B$1:$C$292,2,FALSE)</f>
        <v>#N/A</v>
      </c>
      <c r="D358" s="84">
        <v>2527.1454545454549</v>
      </c>
      <c r="E358" s="84">
        <v>40.843636363636364</v>
      </c>
      <c r="F358" s="84">
        <v>0</v>
      </c>
      <c r="G358" s="84">
        <v>0</v>
      </c>
      <c r="H358" s="84">
        <v>0</v>
      </c>
      <c r="I358" s="84"/>
      <c r="J358" s="84">
        <v>1348.8007298246805</v>
      </c>
      <c r="K358" s="84">
        <v>21.799270175319347</v>
      </c>
      <c r="L358" s="84">
        <v>0</v>
      </c>
      <c r="M358" s="84">
        <v>0</v>
      </c>
      <c r="N358" s="84">
        <v>0</v>
      </c>
    </row>
    <row r="359" spans="1:14" x14ac:dyDescent="0.25">
      <c r="A359" s="74" t="s">
        <v>1506</v>
      </c>
      <c r="B359" s="74">
        <v>3366</v>
      </c>
      <c r="C359" t="e">
        <f>VLOOKUP(B359,'Waste Lookups'!$B$1:$C$292,2,FALSE)</f>
        <v>#N/A</v>
      </c>
      <c r="D359" s="84">
        <v>4261.636363636364</v>
      </c>
      <c r="E359" s="84">
        <v>3499.2436363636361</v>
      </c>
      <c r="F359" s="84">
        <v>0</v>
      </c>
      <c r="G359" s="84">
        <v>0</v>
      </c>
      <c r="H359" s="84">
        <v>0</v>
      </c>
      <c r="I359" s="84"/>
      <c r="J359" s="84">
        <v>4332.9228199051468</v>
      </c>
      <c r="K359" s="84">
        <v>3557.7771800948531</v>
      </c>
      <c r="L359" s="84">
        <v>0</v>
      </c>
      <c r="M359" s="84">
        <v>0</v>
      </c>
      <c r="N359" s="84">
        <v>0</v>
      </c>
    </row>
    <row r="360" spans="1:14" x14ac:dyDescent="0.25">
      <c r="A360" s="74" t="s">
        <v>1508</v>
      </c>
      <c r="B360" s="74">
        <v>3367</v>
      </c>
      <c r="C360" t="e">
        <f>VLOOKUP(B360,'Waste Lookups'!$B$1:$C$292,2,FALSE)</f>
        <v>#N/A</v>
      </c>
      <c r="D360" s="84">
        <v>0</v>
      </c>
      <c r="E360" s="84">
        <v>4111.2</v>
      </c>
      <c r="F360" s="84">
        <v>0</v>
      </c>
      <c r="G360" s="84">
        <v>0</v>
      </c>
      <c r="H360" s="84">
        <v>134.42181818181817</v>
      </c>
      <c r="I360" s="84"/>
      <c r="J360" s="84">
        <v>0</v>
      </c>
      <c r="K360" s="84">
        <v>10048.499321654137</v>
      </c>
      <c r="L360" s="84">
        <v>0</v>
      </c>
      <c r="M360" s="84">
        <v>0</v>
      </c>
      <c r="N360" s="84">
        <v>328.55067834586384</v>
      </c>
    </row>
    <row r="361" spans="1:14" x14ac:dyDescent="0.25">
      <c r="A361" s="74" t="s">
        <v>1510</v>
      </c>
      <c r="B361" s="74">
        <v>3385</v>
      </c>
      <c r="C361" t="e">
        <f>VLOOKUP(B361,'Waste Lookups'!$B$1:$C$292,2,FALSE)</f>
        <v>#N/A</v>
      </c>
      <c r="D361" s="84">
        <v>0</v>
      </c>
      <c r="E361" s="84">
        <v>167.86909090909091</v>
      </c>
      <c r="F361" s="84">
        <v>0</v>
      </c>
      <c r="G361" s="84">
        <v>0</v>
      </c>
      <c r="H361" s="84">
        <v>78.218181818181819</v>
      </c>
      <c r="I361" s="84"/>
      <c r="J361" s="84">
        <v>0</v>
      </c>
      <c r="K361" s="84">
        <v>542.14765848036166</v>
      </c>
      <c r="L361" s="84">
        <v>0</v>
      </c>
      <c r="M361" s="84">
        <v>0</v>
      </c>
      <c r="N361" s="84">
        <v>252.61234151963825</v>
      </c>
    </row>
    <row r="362" spans="1:14" x14ac:dyDescent="0.25">
      <c r="A362" s="74" t="s">
        <v>1512</v>
      </c>
      <c r="B362" s="74">
        <v>3387</v>
      </c>
      <c r="C362" t="e">
        <f>VLOOKUP(B362,'Waste Lookups'!$B$1:$C$292,2,FALSE)</f>
        <v>#N/A</v>
      </c>
      <c r="D362" s="84">
        <v>186.92727272727271</v>
      </c>
      <c r="E362" s="84">
        <v>0</v>
      </c>
      <c r="F362" s="84">
        <v>103.81090909090909</v>
      </c>
      <c r="G362" s="84">
        <v>0</v>
      </c>
      <c r="H362" s="84">
        <v>0</v>
      </c>
      <c r="I362" s="84"/>
      <c r="J362" s="84">
        <v>0</v>
      </c>
      <c r="K362" s="84">
        <v>0</v>
      </c>
      <c r="L362" s="84">
        <v>0</v>
      </c>
      <c r="M362" s="84">
        <v>0</v>
      </c>
      <c r="N362" s="84">
        <v>0</v>
      </c>
    </row>
    <row r="363" spans="1:14" x14ac:dyDescent="0.25">
      <c r="A363" s="74" t="s">
        <v>1514</v>
      </c>
      <c r="B363" s="74">
        <v>3391</v>
      </c>
      <c r="C363" t="e">
        <f>VLOOKUP(B363,'Waste Lookups'!$B$1:$C$292,2,FALSE)</f>
        <v>#N/A</v>
      </c>
      <c r="D363" s="84">
        <v>0</v>
      </c>
      <c r="E363" s="84">
        <v>805.44</v>
      </c>
      <c r="F363" s="84">
        <v>0</v>
      </c>
      <c r="G363" s="84">
        <v>0</v>
      </c>
      <c r="H363" s="84">
        <v>0</v>
      </c>
      <c r="I363" s="84"/>
      <c r="J363" s="84">
        <v>0</v>
      </c>
      <c r="K363" s="84">
        <v>625.87</v>
      </c>
      <c r="L363" s="84">
        <v>0</v>
      </c>
      <c r="M363" s="84">
        <v>0</v>
      </c>
      <c r="N363" s="84">
        <v>0</v>
      </c>
    </row>
    <row r="364" spans="1:14" x14ac:dyDescent="0.25">
      <c r="A364" s="74" t="s">
        <v>1516</v>
      </c>
      <c r="B364" s="74">
        <v>3393</v>
      </c>
      <c r="C364" t="e">
        <f>VLOOKUP(B364,'Waste Lookups'!$B$1:$C$292,2,FALSE)</f>
        <v>#N/A</v>
      </c>
      <c r="D364" s="84">
        <v>705.55636363636359</v>
      </c>
      <c r="E364" s="84">
        <v>619.81090909090904</v>
      </c>
      <c r="F364" s="84">
        <v>277.78909090909087</v>
      </c>
      <c r="G364" s="84">
        <v>0</v>
      </c>
      <c r="H364" s="84">
        <v>292.05818181818182</v>
      </c>
      <c r="I364" s="84"/>
      <c r="J364" s="84">
        <v>580.18461157671766</v>
      </c>
      <c r="K364" s="84">
        <v>509.67544207036286</v>
      </c>
      <c r="L364" s="84">
        <v>228.42817968318292</v>
      </c>
      <c r="M364" s="84">
        <v>0</v>
      </c>
      <c r="N364" s="84">
        <v>240.16176666973664</v>
      </c>
    </row>
    <row r="365" spans="1:14" x14ac:dyDescent="0.25">
      <c r="A365" s="74" t="s">
        <v>693</v>
      </c>
      <c r="B365" s="74">
        <v>3394</v>
      </c>
      <c r="C365" t="str">
        <f>VLOOKUP(B365,'Waste Lookups'!$B$1:$C$292,2,FALSE)</f>
        <v>Lance Burn Health Centre</v>
      </c>
      <c r="D365" s="84">
        <v>547.24363636363637</v>
      </c>
      <c r="E365" s="84">
        <v>844.17818181818188</v>
      </c>
      <c r="F365" s="84">
        <v>143.7381818181818</v>
      </c>
      <c r="G365" s="84">
        <v>0</v>
      </c>
      <c r="H365" s="84">
        <v>293.89090909090908</v>
      </c>
      <c r="I365" s="84"/>
      <c r="J365" s="84">
        <v>620.52529609991473</v>
      </c>
      <c r="K365" s="84">
        <v>957.2224899948111</v>
      </c>
      <c r="L365" s="84">
        <v>162.98623118994647</v>
      </c>
      <c r="M365" s="84">
        <v>0</v>
      </c>
      <c r="N365" s="84">
        <v>333.24598271532773</v>
      </c>
    </row>
    <row r="366" spans="1:14" x14ac:dyDescent="0.25">
      <c r="A366" s="74" t="s">
        <v>1519</v>
      </c>
      <c r="B366" s="74">
        <v>3395</v>
      </c>
      <c r="C366" t="e">
        <f>VLOOKUP(B366,'Waste Lookups'!$B$1:$C$292,2,FALSE)</f>
        <v>#N/A</v>
      </c>
      <c r="D366" s="84">
        <v>339.04363636363638</v>
      </c>
      <c r="E366" s="84">
        <v>935.58545454545458</v>
      </c>
      <c r="F366" s="84">
        <v>161.14909090909092</v>
      </c>
      <c r="G366" s="84">
        <v>0</v>
      </c>
      <c r="H366" s="84">
        <v>0</v>
      </c>
      <c r="I366" s="84"/>
      <c r="J366" s="84">
        <v>172.43835305023057</v>
      </c>
      <c r="K366" s="84">
        <v>475.84085827387867</v>
      </c>
      <c r="L366" s="84">
        <v>81.960788675890683</v>
      </c>
      <c r="M366" s="84">
        <v>0</v>
      </c>
      <c r="N366" s="84">
        <v>0</v>
      </c>
    </row>
    <row r="367" spans="1:14" x14ac:dyDescent="0.25">
      <c r="A367" s="74" t="s">
        <v>1521</v>
      </c>
      <c r="B367" s="74">
        <v>3396</v>
      </c>
      <c r="C367" t="e">
        <f>VLOOKUP(B367,'Waste Lookups'!$B$1:$C$292,2,FALSE)</f>
        <v>#N/A</v>
      </c>
      <c r="D367" s="84">
        <v>319.46181818181816</v>
      </c>
      <c r="E367" s="84">
        <v>605.65090909090907</v>
      </c>
      <c r="F367" s="84">
        <v>94.712727272727264</v>
      </c>
      <c r="G367" s="84">
        <v>0</v>
      </c>
      <c r="H367" s="84">
        <v>504.78545454545463</v>
      </c>
      <c r="I367" s="84"/>
      <c r="J367" s="84">
        <v>381.12615987864569</v>
      </c>
      <c r="K367" s="84">
        <v>722.55710094736548</v>
      </c>
      <c r="L367" s="84">
        <v>112.99471793697587</v>
      </c>
      <c r="M367" s="84">
        <v>0</v>
      </c>
      <c r="N367" s="84">
        <v>602.22202123701322</v>
      </c>
    </row>
    <row r="368" spans="1:14" x14ac:dyDescent="0.25">
      <c r="A368" s="74" t="s">
        <v>1523</v>
      </c>
      <c r="B368" s="74">
        <v>3397</v>
      </c>
      <c r="C368" t="e">
        <f>VLOOKUP(B368,'Waste Lookups'!$B$1:$C$292,2,FALSE)</f>
        <v>#N/A</v>
      </c>
      <c r="D368" s="84">
        <v>929.67272727272734</v>
      </c>
      <c r="E368" s="84">
        <v>0.90545454545454551</v>
      </c>
      <c r="F368" s="84">
        <v>311.17090909090911</v>
      </c>
      <c r="G368" s="84">
        <v>0</v>
      </c>
      <c r="H368" s="84">
        <v>293.89090909090908</v>
      </c>
      <c r="I368" s="84"/>
      <c r="J368" s="84">
        <v>346.52957014072905</v>
      </c>
      <c r="K368" s="84">
        <v>0.3375023975789781</v>
      </c>
      <c r="L368" s="84">
        <v>115.98696853665989</v>
      </c>
      <c r="M368" s="84">
        <v>0</v>
      </c>
      <c r="N368" s="84">
        <v>109.54595892503214</v>
      </c>
    </row>
    <row r="369" spans="1:14" x14ac:dyDescent="0.25">
      <c r="A369" s="74" t="s">
        <v>694</v>
      </c>
      <c r="B369" s="74">
        <v>3398</v>
      </c>
      <c r="C369" t="str">
        <f>VLOOKUP(B369,'Waste Lookups'!$B$1:$C$292,2,FALSE)</f>
        <v>Ordsall Health Centre</v>
      </c>
      <c r="D369" s="84">
        <v>557.97818181818184</v>
      </c>
      <c r="E369" s="84">
        <v>723.58909090909083</v>
      </c>
      <c r="F369" s="84">
        <v>179.80363636363634</v>
      </c>
      <c r="G369" s="84">
        <v>0</v>
      </c>
      <c r="H369" s="84">
        <v>462.45818181818186</v>
      </c>
      <c r="I369" s="84"/>
      <c r="J369" s="84">
        <v>390.39029821208845</v>
      </c>
      <c r="K369" s="84">
        <v>506.26022699049054</v>
      </c>
      <c r="L369" s="84">
        <v>125.79989237373194</v>
      </c>
      <c r="M369" s="84">
        <v>0</v>
      </c>
      <c r="N369" s="84">
        <v>323.55958242368916</v>
      </c>
    </row>
    <row r="370" spans="1:14" x14ac:dyDescent="0.25">
      <c r="A370" s="74" t="s">
        <v>1526</v>
      </c>
      <c r="B370" s="74">
        <v>3400</v>
      </c>
      <c r="C370" t="e">
        <f>VLOOKUP(B370,'Waste Lookups'!$B$1:$C$292,2,FALSE)</f>
        <v>#N/A</v>
      </c>
      <c r="D370" s="84">
        <v>579.01090909090908</v>
      </c>
      <c r="E370" s="84">
        <v>1575.0109090909091</v>
      </c>
      <c r="F370" s="84">
        <v>203.69454545454545</v>
      </c>
      <c r="G370" s="84">
        <v>0</v>
      </c>
      <c r="H370" s="84">
        <v>627.36</v>
      </c>
      <c r="I370" s="84"/>
      <c r="J370" s="84">
        <v>556.43755554905852</v>
      </c>
      <c r="K370" s="84">
        <v>1513.6074406502164</v>
      </c>
      <c r="L370" s="84">
        <v>195.75329785989942</v>
      </c>
      <c r="M370" s="84">
        <v>0</v>
      </c>
      <c r="N370" s="84">
        <v>602.90170594082565</v>
      </c>
    </row>
    <row r="371" spans="1:14" x14ac:dyDescent="0.25">
      <c r="A371" s="74" t="s">
        <v>1528</v>
      </c>
      <c r="B371" s="74">
        <v>3403</v>
      </c>
      <c r="C371" t="e">
        <f>VLOOKUP(B371,'Waste Lookups'!$B$1:$C$292,2,FALSE)</f>
        <v>#N/A</v>
      </c>
      <c r="D371" s="84">
        <v>0</v>
      </c>
      <c r="E371" s="84">
        <v>0.90545454545454551</v>
      </c>
      <c r="F371" s="84">
        <v>0</v>
      </c>
      <c r="G371" s="84">
        <v>0</v>
      </c>
      <c r="H371" s="84">
        <v>78.414545454545447</v>
      </c>
      <c r="I371" s="84"/>
      <c r="J371" s="84">
        <v>0</v>
      </c>
      <c r="K371" s="84">
        <v>2.676638701691652</v>
      </c>
      <c r="L371" s="84">
        <v>0</v>
      </c>
      <c r="M371" s="84">
        <v>0</v>
      </c>
      <c r="N371" s="84">
        <v>231.80336129830835</v>
      </c>
    </row>
    <row r="372" spans="1:14" x14ac:dyDescent="0.25">
      <c r="A372" s="74" t="s">
        <v>695</v>
      </c>
      <c r="B372" s="74">
        <v>3404</v>
      </c>
      <c r="C372" t="str">
        <f>VLOOKUP(B372,'Waste Lookups'!$B$1:$C$292,2,FALSE)</f>
        <v>Sandringham House</v>
      </c>
      <c r="D372" s="84">
        <v>0</v>
      </c>
      <c r="E372" s="84">
        <v>2.4109090909090907</v>
      </c>
      <c r="F372" s="84">
        <v>545.58545454545458</v>
      </c>
      <c r="G372" s="84">
        <v>0</v>
      </c>
      <c r="H372" s="84">
        <v>1279.669090909091</v>
      </c>
      <c r="I372" s="84"/>
      <c r="J372" s="84">
        <v>0</v>
      </c>
      <c r="K372" s="84">
        <v>1.823339700124152</v>
      </c>
      <c r="L372" s="84">
        <v>412.61929901633079</v>
      </c>
      <c r="M372" s="84">
        <v>0</v>
      </c>
      <c r="N372" s="84">
        <v>967.79736128354511</v>
      </c>
    </row>
    <row r="373" spans="1:14" x14ac:dyDescent="0.25">
      <c r="A373" s="74" t="s">
        <v>1531</v>
      </c>
      <c r="B373" s="74">
        <v>3405</v>
      </c>
      <c r="C373" t="e">
        <f>VLOOKUP(B373,'Waste Lookups'!$B$1:$C$292,2,FALSE)</f>
        <v>#N/A</v>
      </c>
      <c r="D373" s="84">
        <v>0</v>
      </c>
      <c r="E373" s="84">
        <v>641.21454545454537</v>
      </c>
      <c r="F373" s="84">
        <v>0</v>
      </c>
      <c r="G373" s="84">
        <v>0</v>
      </c>
      <c r="H373" s="84">
        <v>1175.4872727272727</v>
      </c>
      <c r="I373" s="84"/>
      <c r="J373" s="84">
        <v>0</v>
      </c>
      <c r="K373" s="84">
        <v>413.35301751625821</v>
      </c>
      <c r="L373" s="84">
        <v>0</v>
      </c>
      <c r="M373" s="84">
        <v>0</v>
      </c>
      <c r="N373" s="84">
        <v>757.7669824837418</v>
      </c>
    </row>
    <row r="374" spans="1:14" x14ac:dyDescent="0.25">
      <c r="A374" s="74" t="s">
        <v>1533</v>
      </c>
      <c r="B374" s="74">
        <v>3410</v>
      </c>
      <c r="C374" t="e">
        <f>VLOOKUP(B374,'Waste Lookups'!$B$1:$C$292,2,FALSE)</f>
        <v>#N/A</v>
      </c>
      <c r="D374" s="84">
        <v>350.94545454545454</v>
      </c>
      <c r="E374" s="84">
        <v>817.28727272727269</v>
      </c>
      <c r="F374" s="84">
        <v>30.370909090909088</v>
      </c>
      <c r="G374" s="84">
        <v>0</v>
      </c>
      <c r="H374" s="84">
        <v>0</v>
      </c>
      <c r="I374" s="84"/>
      <c r="J374" s="84">
        <v>173.53096239260231</v>
      </c>
      <c r="K374" s="84">
        <v>404.12162388961701</v>
      </c>
      <c r="L374" s="84">
        <v>15.017413717780688</v>
      </c>
      <c r="M374" s="84">
        <v>0</v>
      </c>
      <c r="N374" s="84">
        <v>0</v>
      </c>
    </row>
    <row r="375" spans="1:14" x14ac:dyDescent="0.25">
      <c r="A375" s="74" t="s">
        <v>1535</v>
      </c>
      <c r="B375" s="74">
        <v>3412</v>
      </c>
      <c r="C375" t="e">
        <f>VLOOKUP(B375,'Waste Lookups'!$B$1:$C$292,2,FALSE)</f>
        <v>#N/A</v>
      </c>
      <c r="D375" s="84">
        <v>0</v>
      </c>
      <c r="E375" s="84">
        <v>5.6836363636363636</v>
      </c>
      <c r="F375" s="84">
        <v>0</v>
      </c>
      <c r="G375" s="84">
        <v>0</v>
      </c>
      <c r="H375" s="84">
        <v>1325.4545454545455</v>
      </c>
      <c r="I375" s="84"/>
      <c r="J375" s="84">
        <v>0</v>
      </c>
      <c r="K375" s="84">
        <v>18.246080019013121</v>
      </c>
      <c r="L375" s="84">
        <v>0</v>
      </c>
      <c r="M375" s="84">
        <v>0</v>
      </c>
      <c r="N375" s="84">
        <v>4255.0839199809861</v>
      </c>
    </row>
    <row r="376" spans="1:14" x14ac:dyDescent="0.25">
      <c r="A376" s="74" t="s">
        <v>696</v>
      </c>
      <c r="B376" s="74">
        <v>3415</v>
      </c>
      <c r="C376" t="str">
        <f>VLOOKUP(B376,'Waste Lookups'!$B$1:$C$292,2,FALSE)</f>
        <v>St James House (Mezzanine Floor Front Wing)</v>
      </c>
      <c r="D376" s="84">
        <v>0</v>
      </c>
      <c r="E376" s="84">
        <v>2057.181818181818</v>
      </c>
      <c r="F376" s="84">
        <v>0</v>
      </c>
      <c r="G376" s="84">
        <v>0</v>
      </c>
      <c r="H376" s="84">
        <v>1246.6472727272728</v>
      </c>
      <c r="I376" s="84"/>
      <c r="J376" s="84">
        <v>0</v>
      </c>
      <c r="K376" s="84">
        <v>2846.1499326401427</v>
      </c>
      <c r="L376" s="84">
        <v>0</v>
      </c>
      <c r="M376" s="84">
        <v>0</v>
      </c>
      <c r="N376" s="84">
        <v>1724.760067359857</v>
      </c>
    </row>
    <row r="377" spans="1:14" x14ac:dyDescent="0.25">
      <c r="A377" s="74" t="s">
        <v>1538</v>
      </c>
      <c r="B377" s="74">
        <v>3421</v>
      </c>
      <c r="C377" t="e">
        <f>VLOOKUP(B377,'Waste Lookups'!$B$1:$C$292,2,FALSE)</f>
        <v>#N/A</v>
      </c>
      <c r="D377" s="84">
        <v>736.50545454545454</v>
      </c>
      <c r="E377" s="84">
        <v>969.38181818181818</v>
      </c>
      <c r="F377" s="84">
        <v>233.0181818181818</v>
      </c>
      <c r="G377" s="84">
        <v>0</v>
      </c>
      <c r="H377" s="84">
        <v>288.87272727272727</v>
      </c>
      <c r="I377" s="84"/>
      <c r="J377" s="84">
        <v>386.33359061372187</v>
      </c>
      <c r="K377" s="84">
        <v>508.48877789366975</v>
      </c>
      <c r="L377" s="84">
        <v>122.22957794067955</v>
      </c>
      <c r="M377" s="84">
        <v>0</v>
      </c>
      <c r="N377" s="84">
        <v>151.52805355192859</v>
      </c>
    </row>
    <row r="378" spans="1:14" x14ac:dyDescent="0.25">
      <c r="A378" s="74" t="s">
        <v>1540</v>
      </c>
      <c r="B378" s="74">
        <v>3422</v>
      </c>
      <c r="C378" t="e">
        <f>VLOOKUP(B378,'Waste Lookups'!$B$1:$C$292,2,FALSE)</f>
        <v>#N/A</v>
      </c>
      <c r="D378" s="84">
        <v>14.399999999999999</v>
      </c>
      <c r="E378" s="84">
        <v>610.35272727272729</v>
      </c>
      <c r="F378" s="84">
        <v>21.86181818181818</v>
      </c>
      <c r="G378" s="84">
        <v>0</v>
      </c>
      <c r="H378" s="84">
        <v>0</v>
      </c>
      <c r="I378" s="84"/>
      <c r="J378" s="84">
        <v>9.0754036407807916</v>
      </c>
      <c r="K378" s="84">
        <v>384.66648355912469</v>
      </c>
      <c r="L378" s="84">
        <v>13.778112800094476</v>
      </c>
      <c r="M378" s="84">
        <v>0</v>
      </c>
      <c r="N378" s="84">
        <v>0</v>
      </c>
    </row>
    <row r="379" spans="1:14" x14ac:dyDescent="0.25">
      <c r="A379" s="74" t="s">
        <v>1542</v>
      </c>
      <c r="B379" s="74">
        <v>3423</v>
      </c>
      <c r="C379" t="e">
        <f>VLOOKUP(B379,'Waste Lookups'!$B$1:$C$292,2,FALSE)</f>
        <v>#N/A</v>
      </c>
      <c r="D379" s="84">
        <v>264.81818181818181</v>
      </c>
      <c r="E379" s="84">
        <v>842.80363636363631</v>
      </c>
      <c r="F379" s="84">
        <v>62.312727272727273</v>
      </c>
      <c r="G379" s="84">
        <v>0</v>
      </c>
      <c r="H379" s="84">
        <v>186.17454545454544</v>
      </c>
      <c r="I379" s="84"/>
      <c r="J379" s="84">
        <v>299.85317351781839</v>
      </c>
      <c r="K379" s="84">
        <v>954.30511334566802</v>
      </c>
      <c r="L379" s="84">
        <v>70.556594320649992</v>
      </c>
      <c r="M379" s="84">
        <v>0</v>
      </c>
      <c r="N379" s="84">
        <v>210.80511881586358</v>
      </c>
    </row>
    <row r="380" spans="1:14" x14ac:dyDescent="0.25">
      <c r="A380" s="74" t="s">
        <v>1544</v>
      </c>
      <c r="B380" s="74">
        <v>3424</v>
      </c>
      <c r="C380" t="e">
        <f>VLOOKUP(B380,'Waste Lookups'!$B$1:$C$292,2,FALSE)</f>
        <v>#N/A</v>
      </c>
      <c r="D380" s="84">
        <v>0</v>
      </c>
      <c r="E380" s="84">
        <v>0.92727272727272725</v>
      </c>
      <c r="F380" s="84">
        <v>0</v>
      </c>
      <c r="G380" s="84">
        <v>0</v>
      </c>
      <c r="H380" s="84">
        <v>186.43636363636364</v>
      </c>
      <c r="I380" s="84"/>
      <c r="J380" s="84">
        <v>0</v>
      </c>
      <c r="K380" s="84">
        <v>2.1005764192139735</v>
      </c>
      <c r="L380" s="84">
        <v>0</v>
      </c>
      <c r="M380" s="84">
        <v>0</v>
      </c>
      <c r="N380" s="84">
        <v>422.33942358078599</v>
      </c>
    </row>
    <row r="381" spans="1:14" x14ac:dyDescent="0.25">
      <c r="A381" s="74" t="s">
        <v>1546</v>
      </c>
      <c r="B381" s="74">
        <v>3425</v>
      </c>
      <c r="C381" t="e">
        <f>VLOOKUP(B381,'Waste Lookups'!$B$1:$C$292,2,FALSE)</f>
        <v>#N/A</v>
      </c>
      <c r="D381" s="84">
        <v>0</v>
      </c>
      <c r="E381" s="84">
        <v>0.90545454545454551</v>
      </c>
      <c r="F381" s="84">
        <v>0</v>
      </c>
      <c r="G381" s="84">
        <v>0</v>
      </c>
      <c r="H381" s="84">
        <v>78.414545454545447</v>
      </c>
      <c r="I381" s="84"/>
      <c r="J381" s="84">
        <v>0</v>
      </c>
      <c r="K381" s="84">
        <v>3.9368780085270259</v>
      </c>
      <c r="L381" s="84">
        <v>0</v>
      </c>
      <c r="M381" s="84">
        <v>0</v>
      </c>
      <c r="N381" s="84">
        <v>340.94312199147299</v>
      </c>
    </row>
    <row r="382" spans="1:14" x14ac:dyDescent="0.25">
      <c r="A382" s="74" t="s">
        <v>1548</v>
      </c>
      <c r="B382" s="74">
        <v>3426</v>
      </c>
      <c r="C382" t="e">
        <f>VLOOKUP(B382,'Waste Lookups'!$B$1:$C$292,2,FALSE)</f>
        <v>#N/A</v>
      </c>
      <c r="D382" s="84">
        <v>477.14181818181817</v>
      </c>
      <c r="E382" s="84">
        <v>3782.6181818181822</v>
      </c>
      <c r="F382" s="84">
        <v>0</v>
      </c>
      <c r="G382" s="84">
        <v>0</v>
      </c>
      <c r="H382" s="84">
        <v>447.46909090909094</v>
      </c>
      <c r="I382" s="84"/>
      <c r="J382" s="84">
        <v>151.26494196933456</v>
      </c>
      <c r="K382" s="84">
        <v>1199.1770537849711</v>
      </c>
      <c r="L382" s="84">
        <v>0</v>
      </c>
      <c r="M382" s="84">
        <v>0</v>
      </c>
      <c r="N382" s="84">
        <v>141.85800424569402</v>
      </c>
    </row>
    <row r="383" spans="1:14" x14ac:dyDescent="0.25">
      <c r="A383" s="74" t="s">
        <v>1550</v>
      </c>
      <c r="B383" s="74">
        <v>3427</v>
      </c>
      <c r="C383" t="e">
        <f>VLOOKUP(B383,'Waste Lookups'!$B$1:$C$292,2,FALSE)</f>
        <v>#N/A</v>
      </c>
      <c r="D383" s="84">
        <v>0</v>
      </c>
      <c r="E383" s="84">
        <v>0</v>
      </c>
      <c r="F383" s="84">
        <v>169.90909090909091</v>
      </c>
      <c r="G383" s="84">
        <v>0</v>
      </c>
      <c r="H383" s="84">
        <v>0</v>
      </c>
      <c r="I383" s="84"/>
      <c r="J383" s="84">
        <v>0</v>
      </c>
      <c r="K383" s="84">
        <v>0</v>
      </c>
      <c r="L383" s="84">
        <v>0</v>
      </c>
      <c r="M383" s="84">
        <v>0</v>
      </c>
      <c r="N383" s="84">
        <v>0</v>
      </c>
    </row>
    <row r="384" spans="1:14" x14ac:dyDescent="0.25">
      <c r="A384" s="74" t="s">
        <v>1552</v>
      </c>
      <c r="B384" s="74">
        <v>3428</v>
      </c>
      <c r="C384" t="e">
        <f>VLOOKUP(B384,'Waste Lookups'!$B$1:$C$292,2,FALSE)</f>
        <v>#N/A</v>
      </c>
      <c r="D384" s="84">
        <v>0</v>
      </c>
      <c r="E384" s="84">
        <v>632.38909090909101</v>
      </c>
      <c r="F384" s="84">
        <v>0</v>
      </c>
      <c r="G384" s="84">
        <v>0</v>
      </c>
      <c r="H384" s="84">
        <v>53.93454545454545</v>
      </c>
      <c r="I384" s="84"/>
      <c r="J384" s="84">
        <v>0</v>
      </c>
      <c r="K384" s="84">
        <v>455.08701063373235</v>
      </c>
      <c r="L384" s="84">
        <v>0</v>
      </c>
      <c r="M384" s="84">
        <v>0</v>
      </c>
      <c r="N384" s="84">
        <v>38.812989366267693</v>
      </c>
    </row>
    <row r="385" spans="1:14" x14ac:dyDescent="0.25">
      <c r="A385" s="74" t="s">
        <v>1554</v>
      </c>
      <c r="B385" s="74">
        <v>3449</v>
      </c>
      <c r="C385" t="e">
        <f>VLOOKUP(B385,'Waste Lookups'!$B$1:$C$292,2,FALSE)</f>
        <v>#N/A</v>
      </c>
      <c r="D385" s="84">
        <v>0</v>
      </c>
      <c r="E385" s="84">
        <v>0</v>
      </c>
      <c r="F385" s="84">
        <v>0</v>
      </c>
      <c r="G385" s="84">
        <v>0</v>
      </c>
      <c r="H385" s="84">
        <v>511.85454545454547</v>
      </c>
      <c r="I385" s="84"/>
      <c r="J385" s="84">
        <v>0</v>
      </c>
      <c r="K385" s="84">
        <v>0</v>
      </c>
      <c r="L385" s="84">
        <v>0</v>
      </c>
      <c r="M385" s="84">
        <v>0</v>
      </c>
      <c r="N385" s="84">
        <v>0</v>
      </c>
    </row>
    <row r="386" spans="1:14" x14ac:dyDescent="0.25">
      <c r="A386" s="74" t="s">
        <v>1556</v>
      </c>
      <c r="B386" s="74">
        <v>3451</v>
      </c>
      <c r="C386" t="e">
        <f>VLOOKUP(B386,'Waste Lookups'!$B$1:$C$292,2,FALSE)</f>
        <v>#N/A</v>
      </c>
      <c r="D386" s="84">
        <v>568.93090909090904</v>
      </c>
      <c r="E386" s="84">
        <v>166.90909090909091</v>
      </c>
      <c r="F386" s="84">
        <v>0</v>
      </c>
      <c r="G386" s="84">
        <v>0</v>
      </c>
      <c r="H386" s="84">
        <v>0</v>
      </c>
      <c r="I386" s="84"/>
      <c r="J386" s="84">
        <v>1878.0580644013521</v>
      </c>
      <c r="K386" s="84">
        <v>550.97193559864809</v>
      </c>
      <c r="L386" s="84">
        <v>0</v>
      </c>
      <c r="M386" s="84">
        <v>0</v>
      </c>
      <c r="N386" s="84">
        <v>0</v>
      </c>
    </row>
    <row r="387" spans="1:14" x14ac:dyDescent="0.25">
      <c r="A387" s="74" t="s">
        <v>1558</v>
      </c>
      <c r="B387" s="74">
        <v>3452</v>
      </c>
      <c r="C387" t="e">
        <f>VLOOKUP(B387,'Waste Lookups'!$B$1:$C$292,2,FALSE)</f>
        <v>#N/A</v>
      </c>
      <c r="D387" s="84">
        <v>161.0181818181818</v>
      </c>
      <c r="E387" s="84">
        <v>1038.1854545454546</v>
      </c>
      <c r="F387" s="84">
        <v>0</v>
      </c>
      <c r="G387" s="84">
        <v>0</v>
      </c>
      <c r="H387" s="84">
        <v>0</v>
      </c>
      <c r="I387" s="84"/>
      <c r="J387" s="84">
        <v>221.18180974646805</v>
      </c>
      <c r="K387" s="84">
        <v>1426.0981902535318</v>
      </c>
      <c r="L387" s="84">
        <v>0</v>
      </c>
      <c r="M387" s="84">
        <v>0</v>
      </c>
      <c r="N387" s="84">
        <v>0</v>
      </c>
    </row>
    <row r="388" spans="1:14" x14ac:dyDescent="0.25">
      <c r="A388" s="74" t="s">
        <v>1560</v>
      </c>
      <c r="B388" s="74">
        <v>3453</v>
      </c>
      <c r="C388" t="e">
        <f>VLOOKUP(B388,'Waste Lookups'!$B$1:$C$292,2,FALSE)</f>
        <v>#N/A</v>
      </c>
      <c r="D388" s="84">
        <v>87.709090909090918</v>
      </c>
      <c r="E388" s="84">
        <v>114.66545454545454</v>
      </c>
      <c r="F388" s="84">
        <v>0</v>
      </c>
      <c r="G388" s="84">
        <v>0</v>
      </c>
      <c r="H388" s="84">
        <v>0</v>
      </c>
      <c r="I388" s="84"/>
      <c r="J388" s="84">
        <v>769.93477440569256</v>
      </c>
      <c r="K388" s="84">
        <v>1006.5652255943075</v>
      </c>
      <c r="L388" s="84">
        <v>0</v>
      </c>
      <c r="M388" s="84">
        <v>0</v>
      </c>
      <c r="N388" s="84">
        <v>0</v>
      </c>
    </row>
    <row r="389" spans="1:14" x14ac:dyDescent="0.25">
      <c r="A389" s="74" t="s">
        <v>1562</v>
      </c>
      <c r="B389" s="74">
        <v>3455</v>
      </c>
      <c r="C389" t="e">
        <f>VLOOKUP(B389,'Waste Lookups'!$B$1:$C$292,2,FALSE)</f>
        <v>#N/A</v>
      </c>
      <c r="D389" s="84">
        <v>0</v>
      </c>
      <c r="E389" s="84">
        <v>59.378181818181815</v>
      </c>
      <c r="F389" s="84">
        <v>0</v>
      </c>
      <c r="G389" s="84">
        <v>0</v>
      </c>
      <c r="H389" s="84">
        <v>0</v>
      </c>
      <c r="I389" s="84"/>
      <c r="J389" s="84">
        <v>0</v>
      </c>
      <c r="K389" s="84">
        <v>583.64</v>
      </c>
      <c r="L389" s="84">
        <v>0</v>
      </c>
      <c r="M389" s="84">
        <v>0</v>
      </c>
      <c r="N389" s="84">
        <v>0</v>
      </c>
    </row>
    <row r="390" spans="1:14" x14ac:dyDescent="0.25">
      <c r="A390" s="74" t="s">
        <v>1564</v>
      </c>
      <c r="B390" s="74">
        <v>3456</v>
      </c>
      <c r="C390" t="e">
        <f>VLOOKUP(B390,'Waste Lookups'!$B$1:$C$292,2,FALSE)</f>
        <v>#N/A</v>
      </c>
      <c r="D390" s="84">
        <v>32.247272727272723</v>
      </c>
      <c r="E390" s="84">
        <v>0</v>
      </c>
      <c r="F390" s="84">
        <v>0</v>
      </c>
      <c r="G390" s="84">
        <v>0</v>
      </c>
      <c r="H390" s="84">
        <v>0</v>
      </c>
      <c r="I390" s="84"/>
      <c r="J390" s="84">
        <v>0</v>
      </c>
      <c r="K390" s="84">
        <v>0</v>
      </c>
      <c r="L390" s="84">
        <v>0</v>
      </c>
      <c r="M390" s="84">
        <v>0</v>
      </c>
      <c r="N390" s="84">
        <v>0</v>
      </c>
    </row>
    <row r="391" spans="1:14" x14ac:dyDescent="0.25">
      <c r="A391" s="74" t="s">
        <v>1566</v>
      </c>
      <c r="B391" s="74">
        <v>3457</v>
      </c>
      <c r="C391" t="e">
        <f>VLOOKUP(B391,'Waste Lookups'!$B$1:$C$292,2,FALSE)</f>
        <v>#N/A</v>
      </c>
      <c r="D391" s="84">
        <v>376.75636363636363</v>
      </c>
      <c r="E391" s="84">
        <v>143.17090909090911</v>
      </c>
      <c r="F391" s="84">
        <v>0</v>
      </c>
      <c r="G391" s="84">
        <v>0</v>
      </c>
      <c r="H391" s="84">
        <v>619.20000000000005</v>
      </c>
      <c r="I391" s="84"/>
      <c r="J391" s="84">
        <v>856.59996016088871</v>
      </c>
      <c r="K391" s="84">
        <v>325.51592185405093</v>
      </c>
      <c r="L391" s="84">
        <v>0</v>
      </c>
      <c r="M391" s="84">
        <v>0</v>
      </c>
      <c r="N391" s="84">
        <v>1407.8241179850604</v>
      </c>
    </row>
    <row r="392" spans="1:14" x14ac:dyDescent="0.25">
      <c r="A392" s="74" t="s">
        <v>1568</v>
      </c>
      <c r="B392" s="74">
        <v>3458</v>
      </c>
      <c r="C392" t="e">
        <f>VLOOKUP(B392,'Waste Lookups'!$B$1:$C$292,2,FALSE)</f>
        <v>#N/A</v>
      </c>
      <c r="D392" s="84">
        <v>1079.2909090909091</v>
      </c>
      <c r="E392" s="84">
        <v>1375.9854545454546</v>
      </c>
      <c r="F392" s="84">
        <v>0</v>
      </c>
      <c r="G392" s="84">
        <v>0</v>
      </c>
      <c r="H392" s="84">
        <v>0</v>
      </c>
      <c r="I392" s="84"/>
      <c r="J392" s="84">
        <v>823.03482607401361</v>
      </c>
      <c r="K392" s="84">
        <v>1049.2851739259866</v>
      </c>
      <c r="L392" s="84">
        <v>0</v>
      </c>
      <c r="M392" s="84">
        <v>0</v>
      </c>
      <c r="N392" s="84">
        <v>0</v>
      </c>
    </row>
    <row r="393" spans="1:14" x14ac:dyDescent="0.25">
      <c r="A393" s="74" t="s">
        <v>1570</v>
      </c>
      <c r="B393" s="74">
        <v>3459</v>
      </c>
      <c r="C393" t="e">
        <f>VLOOKUP(B393,'Waste Lookups'!$B$1:$C$292,2,FALSE)</f>
        <v>#N/A</v>
      </c>
      <c r="D393" s="84">
        <v>1372.5818181818183</v>
      </c>
      <c r="E393" s="84">
        <v>1375.9854545454546</v>
      </c>
      <c r="F393" s="84">
        <v>0</v>
      </c>
      <c r="G393" s="84">
        <v>0</v>
      </c>
      <c r="H393" s="84">
        <v>0</v>
      </c>
      <c r="I393" s="84"/>
      <c r="J393" s="84">
        <v>721.58033673080581</v>
      </c>
      <c r="K393" s="84">
        <v>723.36966326919401</v>
      </c>
      <c r="L393" s="84">
        <v>0</v>
      </c>
      <c r="M393" s="84">
        <v>0</v>
      </c>
      <c r="N393" s="84">
        <v>0</v>
      </c>
    </row>
    <row r="394" spans="1:14" x14ac:dyDescent="0.25">
      <c r="A394" s="74" t="s">
        <v>1572</v>
      </c>
      <c r="B394" s="74">
        <v>3460</v>
      </c>
      <c r="C394" t="e">
        <f>VLOOKUP(B394,'Waste Lookups'!$B$1:$C$292,2,FALSE)</f>
        <v>#N/A</v>
      </c>
      <c r="D394" s="84">
        <v>0</v>
      </c>
      <c r="E394" s="84">
        <v>3409.3854545454546</v>
      </c>
      <c r="F394" s="84">
        <v>0</v>
      </c>
      <c r="G394" s="84">
        <v>2586.4363636363637</v>
      </c>
      <c r="H394" s="84">
        <v>602.18181818181813</v>
      </c>
      <c r="I394" s="84"/>
      <c r="J394" s="84">
        <v>0</v>
      </c>
      <c r="K394" s="84">
        <v>2528.813897030011</v>
      </c>
      <c r="L394" s="84">
        <v>0</v>
      </c>
      <c r="M394" s="84">
        <v>1918.4150068533127</v>
      </c>
      <c r="N394" s="84">
        <v>446.65109611667657</v>
      </c>
    </row>
    <row r="395" spans="1:14" x14ac:dyDescent="0.25">
      <c r="A395" s="74" t="s">
        <v>1574</v>
      </c>
      <c r="B395" s="74">
        <v>3461</v>
      </c>
      <c r="C395" t="e">
        <f>VLOOKUP(B395,'Waste Lookups'!$B$1:$C$292,2,FALSE)</f>
        <v>#N/A</v>
      </c>
      <c r="D395" s="84">
        <v>1900.909090909091</v>
      </c>
      <c r="E395" s="84">
        <v>0</v>
      </c>
      <c r="F395" s="84">
        <v>0</v>
      </c>
      <c r="G395" s="84">
        <v>0</v>
      </c>
      <c r="H395" s="84">
        <v>0</v>
      </c>
      <c r="I395" s="84"/>
      <c r="J395" s="84">
        <v>887.16</v>
      </c>
      <c r="K395" s="84">
        <v>0</v>
      </c>
      <c r="L395" s="84">
        <v>0</v>
      </c>
      <c r="M395" s="84">
        <v>0</v>
      </c>
      <c r="N395" s="84">
        <v>0</v>
      </c>
    </row>
    <row r="396" spans="1:14" x14ac:dyDescent="0.25">
      <c r="A396" s="74" t="s">
        <v>1576</v>
      </c>
      <c r="B396" s="74">
        <v>3462</v>
      </c>
      <c r="C396" t="e">
        <f>VLOOKUP(B396,'Waste Lookups'!$B$1:$C$292,2,FALSE)</f>
        <v>#N/A</v>
      </c>
      <c r="D396" s="84">
        <v>1390.669090909091</v>
      </c>
      <c r="E396" s="84">
        <v>1473.7745454545454</v>
      </c>
      <c r="F396" s="84">
        <v>0</v>
      </c>
      <c r="G396" s="84">
        <v>0</v>
      </c>
      <c r="H396" s="84">
        <v>0</v>
      </c>
      <c r="I396" s="84"/>
      <c r="J396" s="84">
        <v>800.24883255767907</v>
      </c>
      <c r="K396" s="84">
        <v>848.07116744232087</v>
      </c>
      <c r="L396" s="84">
        <v>0</v>
      </c>
      <c r="M396" s="84">
        <v>0</v>
      </c>
      <c r="N396" s="84">
        <v>0</v>
      </c>
    </row>
    <row r="397" spans="1:14" x14ac:dyDescent="0.25">
      <c r="A397" s="74" t="s">
        <v>1578</v>
      </c>
      <c r="B397" s="74">
        <v>3463</v>
      </c>
      <c r="C397" t="e">
        <f>VLOOKUP(B397,'Waste Lookups'!$B$1:$C$292,2,FALSE)</f>
        <v>#N/A</v>
      </c>
      <c r="D397" s="84">
        <v>43.854545454545459</v>
      </c>
      <c r="E397" s="84">
        <v>1012.9745454545454</v>
      </c>
      <c r="F397" s="84">
        <v>0</v>
      </c>
      <c r="G397" s="84">
        <v>1303.8545454545456</v>
      </c>
      <c r="H397" s="84">
        <v>0</v>
      </c>
      <c r="I397" s="84"/>
      <c r="J397" s="84">
        <v>28.356757056507515</v>
      </c>
      <c r="K397" s="84">
        <v>654.99876448732869</v>
      </c>
      <c r="L397" s="84">
        <v>0</v>
      </c>
      <c r="M397" s="84">
        <v>843.08447845616377</v>
      </c>
      <c r="N397" s="84">
        <v>0</v>
      </c>
    </row>
    <row r="398" spans="1:14" x14ac:dyDescent="0.25">
      <c r="A398" s="74" t="s">
        <v>1580</v>
      </c>
      <c r="B398" s="74">
        <v>3464</v>
      </c>
      <c r="C398" t="e">
        <f>VLOOKUP(B398,'Waste Lookups'!$B$1:$C$292,2,FALSE)</f>
        <v>#N/A</v>
      </c>
      <c r="D398" s="84">
        <v>2400.2181818181816</v>
      </c>
      <c r="E398" s="84">
        <v>1430.0509090909093</v>
      </c>
      <c r="F398" s="84">
        <v>0</v>
      </c>
      <c r="G398" s="84">
        <v>0</v>
      </c>
      <c r="H398" s="84">
        <v>0</v>
      </c>
      <c r="I398" s="84"/>
      <c r="J398" s="84">
        <v>1328.6749547147888</v>
      </c>
      <c r="K398" s="84">
        <v>791.62504528521163</v>
      </c>
      <c r="L398" s="84">
        <v>0</v>
      </c>
      <c r="M398" s="84">
        <v>0</v>
      </c>
      <c r="N398" s="84">
        <v>0</v>
      </c>
    </row>
    <row r="399" spans="1:14" x14ac:dyDescent="0.25">
      <c r="A399" s="74" t="s">
        <v>1582</v>
      </c>
      <c r="B399" s="74">
        <v>3465</v>
      </c>
      <c r="C399" t="e">
        <f>VLOOKUP(B399,'Waste Lookups'!$B$1:$C$292,2,FALSE)</f>
        <v>#N/A</v>
      </c>
      <c r="D399" s="84">
        <v>0</v>
      </c>
      <c r="E399" s="84">
        <v>1430.0509090909093</v>
      </c>
      <c r="F399" s="84">
        <v>0</v>
      </c>
      <c r="G399" s="84">
        <v>0</v>
      </c>
      <c r="H399" s="84">
        <v>0</v>
      </c>
      <c r="I399" s="84"/>
      <c r="J399" s="84">
        <v>0</v>
      </c>
      <c r="K399" s="84">
        <v>1356.35</v>
      </c>
      <c r="L399" s="84">
        <v>0</v>
      </c>
      <c r="M399" s="84">
        <v>0</v>
      </c>
      <c r="N399" s="84">
        <v>0</v>
      </c>
    </row>
    <row r="400" spans="1:14" x14ac:dyDescent="0.25">
      <c r="A400" s="74" t="s">
        <v>676</v>
      </c>
      <c r="B400" s="74">
        <v>3466</v>
      </c>
      <c r="C400" t="str">
        <f>VLOOKUP(B400,'Waste Lookups'!$B$1:$C$292,2,FALSE)</f>
        <v>Regent House</v>
      </c>
      <c r="D400" s="84">
        <v>0</v>
      </c>
      <c r="E400" s="84">
        <v>0</v>
      </c>
      <c r="F400" s="84">
        <v>0</v>
      </c>
      <c r="G400" s="84">
        <v>0</v>
      </c>
      <c r="H400" s="84">
        <v>3359.6945454545448</v>
      </c>
      <c r="I400" s="84"/>
      <c r="J400" s="84">
        <v>0</v>
      </c>
      <c r="K400" s="84">
        <v>0</v>
      </c>
      <c r="L400" s="84">
        <v>0</v>
      </c>
      <c r="M400" s="84">
        <v>0</v>
      </c>
      <c r="N400" s="84">
        <v>6796.64</v>
      </c>
    </row>
    <row r="401" spans="1:14" x14ac:dyDescent="0.25">
      <c r="A401" s="74" t="s">
        <v>1585</v>
      </c>
      <c r="B401" s="74">
        <v>3467</v>
      </c>
      <c r="C401" t="e">
        <f>VLOOKUP(B401,'Waste Lookups'!$B$1:$C$292,2,FALSE)</f>
        <v>#N/A</v>
      </c>
      <c r="D401" s="84">
        <v>1789.9309090909092</v>
      </c>
      <c r="E401" s="84">
        <v>1473.7745454545454</v>
      </c>
      <c r="F401" s="84">
        <v>0</v>
      </c>
      <c r="G401" s="84">
        <v>0</v>
      </c>
      <c r="H401" s="84">
        <v>0</v>
      </c>
      <c r="I401" s="84"/>
      <c r="J401" s="84">
        <v>978.09028000521425</v>
      </c>
      <c r="K401" s="84">
        <v>805.32971999478559</v>
      </c>
      <c r="L401" s="84">
        <v>0</v>
      </c>
      <c r="M401" s="84">
        <v>0</v>
      </c>
      <c r="N401" s="84">
        <v>0</v>
      </c>
    </row>
    <row r="402" spans="1:14" x14ac:dyDescent="0.25">
      <c r="A402" s="74" t="s">
        <v>1587</v>
      </c>
      <c r="B402" s="74">
        <v>3468</v>
      </c>
      <c r="C402" t="e">
        <f>VLOOKUP(B402,'Waste Lookups'!$B$1:$C$292,2,FALSE)</f>
        <v>#N/A</v>
      </c>
      <c r="D402" s="84">
        <v>1875.12</v>
      </c>
      <c r="E402" s="84">
        <v>2640.6981818181816</v>
      </c>
      <c r="F402" s="84">
        <v>0</v>
      </c>
      <c r="G402" s="84">
        <v>0</v>
      </c>
      <c r="H402" s="84">
        <v>0</v>
      </c>
      <c r="I402" s="84"/>
      <c r="J402" s="84">
        <v>1165.3326843821717</v>
      </c>
      <c r="K402" s="84">
        <v>1641.1173156178279</v>
      </c>
      <c r="L402" s="84">
        <v>0</v>
      </c>
      <c r="M402" s="84">
        <v>0</v>
      </c>
      <c r="N402" s="84">
        <v>0</v>
      </c>
    </row>
    <row r="403" spans="1:14" x14ac:dyDescent="0.25">
      <c r="A403" s="74" t="s">
        <v>1589</v>
      </c>
      <c r="B403" s="74">
        <v>3469</v>
      </c>
      <c r="C403" t="e">
        <f>VLOOKUP(B403,'Waste Lookups'!$B$1:$C$292,2,FALSE)</f>
        <v>#N/A</v>
      </c>
      <c r="D403" s="84">
        <v>0</v>
      </c>
      <c r="E403" s="84">
        <v>700.72363636363639</v>
      </c>
      <c r="F403" s="84">
        <v>0</v>
      </c>
      <c r="G403" s="84">
        <v>0</v>
      </c>
      <c r="H403" s="84">
        <v>0</v>
      </c>
      <c r="I403" s="84"/>
      <c r="J403" s="84">
        <v>0</v>
      </c>
      <c r="K403" s="84">
        <v>634.19000000000005</v>
      </c>
      <c r="L403" s="84">
        <v>0</v>
      </c>
      <c r="M403" s="84">
        <v>0</v>
      </c>
      <c r="N403" s="84">
        <v>0</v>
      </c>
    </row>
    <row r="404" spans="1:14" x14ac:dyDescent="0.25">
      <c r="A404" s="74" t="s">
        <v>1591</v>
      </c>
      <c r="B404" s="74">
        <v>3470</v>
      </c>
      <c r="C404" t="e">
        <f>VLOOKUP(B404,'Waste Lookups'!$B$1:$C$292,2,FALSE)</f>
        <v>#N/A</v>
      </c>
      <c r="D404" s="84">
        <v>1081.68</v>
      </c>
      <c r="E404" s="84">
        <v>0</v>
      </c>
      <c r="F404" s="84">
        <v>0</v>
      </c>
      <c r="G404" s="84">
        <v>0</v>
      </c>
      <c r="H404" s="84">
        <v>576.65454545454543</v>
      </c>
      <c r="I404" s="84"/>
      <c r="J404" s="84">
        <v>1099.2556811872591</v>
      </c>
      <c r="K404" s="84">
        <v>0</v>
      </c>
      <c r="L404" s="84">
        <v>0</v>
      </c>
      <c r="M404" s="84">
        <v>0</v>
      </c>
      <c r="N404" s="84">
        <v>586.02431881274083</v>
      </c>
    </row>
    <row r="405" spans="1:14" x14ac:dyDescent="0.25">
      <c r="A405" s="74" t="s">
        <v>1593</v>
      </c>
      <c r="B405" s="74">
        <v>3471</v>
      </c>
      <c r="C405" t="e">
        <f>VLOOKUP(B405,'Waste Lookups'!$B$1:$C$292,2,FALSE)</f>
        <v>#N/A</v>
      </c>
      <c r="D405" s="84">
        <v>1510.5600000000002</v>
      </c>
      <c r="E405" s="84">
        <v>0</v>
      </c>
      <c r="F405" s="84">
        <v>0</v>
      </c>
      <c r="G405" s="84">
        <v>0</v>
      </c>
      <c r="H405" s="84">
        <v>0</v>
      </c>
      <c r="I405" s="84"/>
      <c r="J405" s="84">
        <v>788.58</v>
      </c>
      <c r="K405" s="84">
        <v>0</v>
      </c>
      <c r="L405" s="84">
        <v>0</v>
      </c>
      <c r="M405" s="84">
        <v>0</v>
      </c>
      <c r="N405" s="84">
        <v>0</v>
      </c>
    </row>
    <row r="406" spans="1:14" x14ac:dyDescent="0.25">
      <c r="A406" s="74" t="s">
        <v>1595</v>
      </c>
      <c r="B406" s="74">
        <v>3472</v>
      </c>
      <c r="C406" t="e">
        <f>VLOOKUP(B406,'Waste Lookups'!$B$1:$C$292,2,FALSE)</f>
        <v>#N/A</v>
      </c>
      <c r="D406" s="84">
        <v>1643.2909090909091</v>
      </c>
      <c r="E406" s="84">
        <v>1430.0509090909093</v>
      </c>
      <c r="F406" s="84">
        <v>0</v>
      </c>
      <c r="G406" s="84">
        <v>0</v>
      </c>
      <c r="H406" s="84">
        <v>0</v>
      </c>
      <c r="I406" s="84"/>
      <c r="J406" s="84">
        <v>1251.2752395083112</v>
      </c>
      <c r="K406" s="84">
        <v>1088.9047604916886</v>
      </c>
      <c r="L406" s="84">
        <v>0</v>
      </c>
      <c r="M406" s="84">
        <v>0</v>
      </c>
      <c r="N406" s="84">
        <v>0</v>
      </c>
    </row>
    <row r="407" spans="1:14" x14ac:dyDescent="0.25">
      <c r="A407" s="74" t="s">
        <v>1597</v>
      </c>
      <c r="B407" s="74">
        <v>3473</v>
      </c>
      <c r="C407" t="e">
        <f>VLOOKUP(B407,'Waste Lookups'!$B$1:$C$292,2,FALSE)</f>
        <v>#N/A</v>
      </c>
      <c r="D407" s="84">
        <v>173.64</v>
      </c>
      <c r="E407" s="84">
        <v>108.17454545454544</v>
      </c>
      <c r="F407" s="84">
        <v>0</v>
      </c>
      <c r="G407" s="84">
        <v>0</v>
      </c>
      <c r="H407" s="84">
        <v>0</v>
      </c>
      <c r="I407" s="84"/>
      <c r="J407" s="84">
        <v>1132.6929810707236</v>
      </c>
      <c r="K407" s="84">
        <v>705.64701892927656</v>
      </c>
      <c r="L407" s="84">
        <v>0</v>
      </c>
      <c r="M407" s="84">
        <v>0</v>
      </c>
      <c r="N407" s="84">
        <v>0</v>
      </c>
    </row>
    <row r="408" spans="1:14" x14ac:dyDescent="0.25">
      <c r="A408" s="74" t="s">
        <v>1599</v>
      </c>
      <c r="B408" s="74">
        <v>3474</v>
      </c>
      <c r="C408" t="e">
        <f>VLOOKUP(B408,'Waste Lookups'!$B$1:$C$292,2,FALSE)</f>
        <v>#N/A</v>
      </c>
      <c r="D408" s="84">
        <v>0</v>
      </c>
      <c r="E408" s="84">
        <v>166.92</v>
      </c>
      <c r="F408" s="84">
        <v>0</v>
      </c>
      <c r="G408" s="84">
        <v>0</v>
      </c>
      <c r="H408" s="84">
        <v>0</v>
      </c>
      <c r="I408" s="84"/>
      <c r="J408" s="84">
        <v>0</v>
      </c>
      <c r="K408" s="84">
        <v>1652.54</v>
      </c>
      <c r="L408" s="84">
        <v>0</v>
      </c>
      <c r="M408" s="84">
        <v>0</v>
      </c>
      <c r="N408" s="84">
        <v>0</v>
      </c>
    </row>
    <row r="409" spans="1:14" x14ac:dyDescent="0.25">
      <c r="A409" s="74" t="s">
        <v>1601</v>
      </c>
      <c r="B409" s="74">
        <v>3489</v>
      </c>
      <c r="C409" t="e">
        <f>VLOOKUP(B409,'Waste Lookups'!$B$1:$C$292,2,FALSE)</f>
        <v>#N/A</v>
      </c>
      <c r="D409" s="84">
        <v>1946.4436363636364</v>
      </c>
      <c r="E409" s="84">
        <v>318.45818181818186</v>
      </c>
      <c r="F409" s="84">
        <v>0</v>
      </c>
      <c r="G409" s="84">
        <v>234.9818181818182</v>
      </c>
      <c r="H409" s="84">
        <v>0</v>
      </c>
      <c r="I409" s="84"/>
      <c r="J409" s="84">
        <v>271.95419155509779</v>
      </c>
      <c r="K409" s="84">
        <v>44.494500514933051</v>
      </c>
      <c r="L409" s="84">
        <v>0</v>
      </c>
      <c r="M409" s="84">
        <v>32.8313079299691</v>
      </c>
      <c r="N409" s="84">
        <v>0</v>
      </c>
    </row>
    <row r="410" spans="1:14" x14ac:dyDescent="0.25">
      <c r="A410" s="74" t="s">
        <v>1603</v>
      </c>
      <c r="B410" s="74">
        <v>3490</v>
      </c>
      <c r="C410" t="e">
        <f>VLOOKUP(B410,'Waste Lookups'!$B$1:$C$292,2,FALSE)</f>
        <v>#N/A</v>
      </c>
      <c r="D410" s="84">
        <v>2882.1054545454544</v>
      </c>
      <c r="E410" s="84">
        <v>732.87272727272727</v>
      </c>
      <c r="F410" s="84">
        <v>0</v>
      </c>
      <c r="G410" s="84">
        <v>225.81818181818181</v>
      </c>
      <c r="H410" s="84">
        <v>0</v>
      </c>
      <c r="I410" s="84"/>
      <c r="J410" s="84">
        <v>1363.3959537652702</v>
      </c>
      <c r="K410" s="84">
        <v>346.68950416532937</v>
      </c>
      <c r="L410" s="84">
        <v>0</v>
      </c>
      <c r="M410" s="84">
        <v>106.82454206940038</v>
      </c>
      <c r="N410" s="84">
        <v>0</v>
      </c>
    </row>
    <row r="411" spans="1:14" x14ac:dyDescent="0.25">
      <c r="A411" s="74" t="s">
        <v>1605</v>
      </c>
      <c r="B411" s="74">
        <v>3491</v>
      </c>
      <c r="C411" t="e">
        <f>VLOOKUP(B411,'Waste Lookups'!$B$1:$C$292,2,FALSE)</f>
        <v>#N/A</v>
      </c>
      <c r="D411" s="84">
        <v>4729.2872727272734</v>
      </c>
      <c r="E411" s="84">
        <v>0</v>
      </c>
      <c r="F411" s="84">
        <v>0</v>
      </c>
      <c r="G411" s="84">
        <v>0</v>
      </c>
      <c r="H411" s="84">
        <v>0</v>
      </c>
      <c r="I411" s="84"/>
      <c r="J411" s="84">
        <v>5163.03</v>
      </c>
      <c r="K411" s="84">
        <v>0</v>
      </c>
      <c r="L411" s="84">
        <v>0</v>
      </c>
      <c r="M411" s="84">
        <v>0</v>
      </c>
      <c r="N411" s="84">
        <v>0</v>
      </c>
    </row>
    <row r="412" spans="1:14" x14ac:dyDescent="0.25">
      <c r="A412" s="74" t="s">
        <v>755</v>
      </c>
      <c r="B412" s="74">
        <v>3493</v>
      </c>
      <c r="C412" t="str">
        <f>VLOOKUP(B412,'Waste Lookups'!$B$1:$C$292,2,FALSE)</f>
        <v>Century House</v>
      </c>
      <c r="D412" s="84">
        <v>0</v>
      </c>
      <c r="E412" s="84">
        <v>541.88727272727272</v>
      </c>
      <c r="F412" s="84">
        <v>0</v>
      </c>
      <c r="G412" s="84">
        <v>0</v>
      </c>
      <c r="H412" s="84">
        <v>130.90909090909091</v>
      </c>
      <c r="I412" s="84"/>
      <c r="J412" s="84">
        <v>0</v>
      </c>
      <c r="K412" s="84">
        <v>584.73883222804147</v>
      </c>
      <c r="L412" s="84">
        <v>0</v>
      </c>
      <c r="M412" s="84">
        <v>0</v>
      </c>
      <c r="N412" s="84">
        <v>141.26116777195858</v>
      </c>
    </row>
    <row r="413" spans="1:14" x14ac:dyDescent="0.25">
      <c r="A413" s="74" t="s">
        <v>1608</v>
      </c>
      <c r="B413" s="74">
        <v>3496</v>
      </c>
      <c r="C413" t="e">
        <f>VLOOKUP(B413,'Waste Lookups'!$B$1:$C$292,2,FALSE)</f>
        <v>#N/A</v>
      </c>
      <c r="D413" s="84">
        <v>1823.2581818181818</v>
      </c>
      <c r="E413" s="84">
        <v>381.40363636363639</v>
      </c>
      <c r="F413" s="84">
        <v>0</v>
      </c>
      <c r="G413" s="84">
        <v>0</v>
      </c>
      <c r="H413" s="84">
        <v>0</v>
      </c>
      <c r="I413" s="84"/>
      <c r="J413" s="84">
        <v>663.94972082298341</v>
      </c>
      <c r="K413" s="84">
        <v>138.89027917701668</v>
      </c>
      <c r="L413" s="84">
        <v>0</v>
      </c>
      <c r="M413" s="84">
        <v>0</v>
      </c>
      <c r="N413" s="84">
        <v>0</v>
      </c>
    </row>
    <row r="414" spans="1:14" x14ac:dyDescent="0.25">
      <c r="A414" s="74" t="s">
        <v>1610</v>
      </c>
      <c r="B414" s="74">
        <v>3497</v>
      </c>
      <c r="C414" t="e">
        <f>VLOOKUP(B414,'Waste Lookups'!$B$1:$C$292,2,FALSE)</f>
        <v>#N/A</v>
      </c>
      <c r="D414" s="84">
        <v>784.88727272727272</v>
      </c>
      <c r="E414" s="84">
        <v>728.78181818181815</v>
      </c>
      <c r="F414" s="84">
        <v>0</v>
      </c>
      <c r="G414" s="84">
        <v>646.03636363636372</v>
      </c>
      <c r="H414" s="84">
        <v>0</v>
      </c>
      <c r="I414" s="84"/>
      <c r="J414" s="84">
        <v>73.894858591828182</v>
      </c>
      <c r="K414" s="84">
        <v>68.612692892465148</v>
      </c>
      <c r="L414" s="84">
        <v>0</v>
      </c>
      <c r="M414" s="84">
        <v>60.822448515706704</v>
      </c>
      <c r="N414" s="84">
        <v>0</v>
      </c>
    </row>
    <row r="415" spans="1:14" x14ac:dyDescent="0.25">
      <c r="A415" s="74" t="s">
        <v>1612</v>
      </c>
      <c r="B415" s="74">
        <v>3498</v>
      </c>
      <c r="C415" t="e">
        <f>VLOOKUP(B415,'Waste Lookups'!$B$1:$C$292,2,FALSE)</f>
        <v>#N/A</v>
      </c>
      <c r="D415" s="84">
        <v>927.32727272727266</v>
      </c>
      <c r="E415" s="84">
        <v>426.01090909090908</v>
      </c>
      <c r="F415" s="84">
        <v>0</v>
      </c>
      <c r="G415" s="84">
        <v>228.28363636363636</v>
      </c>
      <c r="H415" s="84">
        <v>0</v>
      </c>
      <c r="I415" s="84"/>
      <c r="J415" s="84">
        <v>452.79283876619166</v>
      </c>
      <c r="K415" s="84">
        <v>208.01144811079996</v>
      </c>
      <c r="L415" s="84">
        <v>0</v>
      </c>
      <c r="M415" s="84">
        <v>111.46571312300837</v>
      </c>
      <c r="N415" s="84">
        <v>0</v>
      </c>
    </row>
    <row r="416" spans="1:14" x14ac:dyDescent="0.25">
      <c r="A416" s="74" t="s">
        <v>1614</v>
      </c>
      <c r="B416" s="74">
        <v>3499</v>
      </c>
      <c r="C416" t="e">
        <f>VLOOKUP(B416,'Waste Lookups'!$B$1:$C$292,2,FALSE)</f>
        <v>#N/A</v>
      </c>
      <c r="D416" s="84">
        <v>1398.0545454545454</v>
      </c>
      <c r="E416" s="84">
        <v>0</v>
      </c>
      <c r="F416" s="84">
        <v>0</v>
      </c>
      <c r="G416" s="84">
        <v>0</v>
      </c>
      <c r="H416" s="84">
        <v>0</v>
      </c>
      <c r="I416" s="84"/>
      <c r="J416" s="84">
        <v>1724.1100000000001</v>
      </c>
      <c r="K416" s="84">
        <v>0</v>
      </c>
      <c r="L416" s="84">
        <v>0</v>
      </c>
      <c r="M416" s="84">
        <v>0</v>
      </c>
      <c r="N416" s="84">
        <v>0</v>
      </c>
    </row>
    <row r="417" spans="1:14" x14ac:dyDescent="0.25">
      <c r="A417" s="74" t="s">
        <v>1616</v>
      </c>
      <c r="B417" s="74">
        <v>3500</v>
      </c>
      <c r="C417" t="e">
        <f>VLOOKUP(B417,'Waste Lookups'!$B$1:$C$292,2,FALSE)</f>
        <v>#N/A</v>
      </c>
      <c r="D417" s="84">
        <v>0</v>
      </c>
      <c r="E417" s="84">
        <v>267.05454545454546</v>
      </c>
      <c r="F417" s="84">
        <v>0</v>
      </c>
      <c r="G417" s="84">
        <v>0</v>
      </c>
      <c r="H417" s="84">
        <v>0</v>
      </c>
      <c r="I417" s="84"/>
      <c r="J417" s="84">
        <v>0</v>
      </c>
      <c r="K417" s="84">
        <v>0</v>
      </c>
      <c r="L417" s="84">
        <v>0</v>
      </c>
      <c r="M417" s="84">
        <v>0</v>
      </c>
      <c r="N417" s="84">
        <v>0</v>
      </c>
    </row>
    <row r="418" spans="1:14" x14ac:dyDescent="0.25">
      <c r="A418" s="74" t="s">
        <v>1618</v>
      </c>
      <c r="B418" s="74">
        <v>3502</v>
      </c>
      <c r="C418" t="e">
        <f>VLOOKUP(B418,'Waste Lookups'!$B$1:$C$292,2,FALSE)</f>
        <v>#N/A</v>
      </c>
      <c r="D418" s="84">
        <v>2228.4436363636364</v>
      </c>
      <c r="E418" s="84">
        <v>713.31272727272733</v>
      </c>
      <c r="F418" s="84">
        <v>0</v>
      </c>
      <c r="G418" s="84">
        <v>289.64727272727271</v>
      </c>
      <c r="H418" s="84">
        <v>0</v>
      </c>
      <c r="I418" s="84"/>
      <c r="J418" s="84">
        <v>147.84783486151809</v>
      </c>
      <c r="K418" s="84">
        <v>47.325290433878443</v>
      </c>
      <c r="L418" s="84">
        <v>0</v>
      </c>
      <c r="M418" s="84">
        <v>19.216874704603455</v>
      </c>
      <c r="N418" s="84">
        <v>0</v>
      </c>
    </row>
    <row r="419" spans="1:14" x14ac:dyDescent="0.25">
      <c r="A419" s="74" t="s">
        <v>1620</v>
      </c>
      <c r="B419" s="74">
        <v>3503</v>
      </c>
      <c r="C419" t="e">
        <f>VLOOKUP(B419,'Waste Lookups'!$B$1:$C$292,2,FALSE)</f>
        <v>#N/A</v>
      </c>
      <c r="D419" s="84">
        <v>2610.7636363636361</v>
      </c>
      <c r="E419" s="84">
        <v>491.23636363636365</v>
      </c>
      <c r="F419" s="84">
        <v>0</v>
      </c>
      <c r="G419" s="84">
        <v>438.54545454545456</v>
      </c>
      <c r="H419" s="84">
        <v>0</v>
      </c>
      <c r="I419" s="84"/>
      <c r="J419" s="84">
        <v>626.25815067015867</v>
      </c>
      <c r="K419" s="84">
        <v>117.83555291942689</v>
      </c>
      <c r="L419" s="84">
        <v>0</v>
      </c>
      <c r="M419" s="84">
        <v>105.19629641041442</v>
      </c>
      <c r="N419" s="84">
        <v>0</v>
      </c>
    </row>
    <row r="420" spans="1:14" x14ac:dyDescent="0.25">
      <c r="A420" s="74" t="s">
        <v>1622</v>
      </c>
      <c r="B420" s="74">
        <v>3504</v>
      </c>
      <c r="C420" t="e">
        <f>VLOOKUP(B420,'Waste Lookups'!$B$1:$C$292,2,FALSE)</f>
        <v>#N/A</v>
      </c>
      <c r="D420" s="84">
        <v>0</v>
      </c>
      <c r="E420" s="84">
        <v>357.84</v>
      </c>
      <c r="F420" s="84">
        <v>0</v>
      </c>
      <c r="G420" s="84">
        <v>200.29090909090911</v>
      </c>
      <c r="H420" s="84">
        <v>0</v>
      </c>
      <c r="I420" s="84"/>
      <c r="J420" s="84">
        <v>0</v>
      </c>
      <c r="K420" s="84">
        <v>11.540518353465462</v>
      </c>
      <c r="L420" s="84">
        <v>0</v>
      </c>
      <c r="M420" s="84">
        <v>6.4594816465345382</v>
      </c>
      <c r="N420" s="84">
        <v>0</v>
      </c>
    </row>
    <row r="421" spans="1:14" x14ac:dyDescent="0.25">
      <c r="A421" s="74" t="s">
        <v>1624</v>
      </c>
      <c r="B421" s="74">
        <v>3505</v>
      </c>
      <c r="C421" t="e">
        <f>VLOOKUP(B421,'Waste Lookups'!$B$1:$C$292,2,FALSE)</f>
        <v>#N/A</v>
      </c>
      <c r="D421" s="84">
        <v>26.781818181818181</v>
      </c>
      <c r="E421" s="84">
        <v>197.10545454545456</v>
      </c>
      <c r="F421" s="84">
        <v>0</v>
      </c>
      <c r="G421" s="84">
        <v>123.75272727272727</v>
      </c>
      <c r="H421" s="84">
        <v>0</v>
      </c>
      <c r="I421" s="84"/>
      <c r="J421" s="84">
        <v>6.230909718517589</v>
      </c>
      <c r="K421" s="84">
        <v>45.857465089277312</v>
      </c>
      <c r="L421" s="84">
        <v>0</v>
      </c>
      <c r="M421" s="84">
        <v>28.7916251922051</v>
      </c>
      <c r="N421" s="84">
        <v>0</v>
      </c>
    </row>
    <row r="422" spans="1:14" x14ac:dyDescent="0.25">
      <c r="A422" s="74" t="s">
        <v>1626</v>
      </c>
      <c r="B422" s="74">
        <v>3510</v>
      </c>
      <c r="C422" t="e">
        <f>VLOOKUP(B422,'Waste Lookups'!$B$1:$C$292,2,FALSE)</f>
        <v>#N/A</v>
      </c>
      <c r="D422" s="84">
        <v>1830.5345454545454</v>
      </c>
      <c r="E422" s="84">
        <v>437.98909090909092</v>
      </c>
      <c r="F422" s="84">
        <v>0</v>
      </c>
      <c r="G422" s="84">
        <v>244.8</v>
      </c>
      <c r="H422" s="84">
        <v>0</v>
      </c>
      <c r="I422" s="84"/>
      <c r="J422" s="84">
        <v>830.33513008490013</v>
      </c>
      <c r="K422" s="84">
        <v>198.67296669097345</v>
      </c>
      <c r="L422" s="84">
        <v>0</v>
      </c>
      <c r="M422" s="84">
        <v>111.04190322412626</v>
      </c>
      <c r="N422" s="84">
        <v>0</v>
      </c>
    </row>
    <row r="423" spans="1:14" x14ac:dyDescent="0.25">
      <c r="A423" s="74" t="s">
        <v>697</v>
      </c>
      <c r="B423" s="74">
        <v>3511</v>
      </c>
      <c r="C423" t="str">
        <f>VLOOKUP(B423,'Waste Lookups'!$B$1:$C$292,2,FALSE)</f>
        <v>New Century House</v>
      </c>
      <c r="D423" s="84">
        <v>0</v>
      </c>
      <c r="E423" s="84">
        <v>0</v>
      </c>
      <c r="F423" s="84">
        <v>0</v>
      </c>
      <c r="G423" s="84">
        <v>0</v>
      </c>
      <c r="H423" s="84">
        <v>86.4</v>
      </c>
      <c r="I423" s="84"/>
      <c r="J423" s="84">
        <v>0</v>
      </c>
      <c r="K423" s="84">
        <v>0</v>
      </c>
      <c r="L423" s="84">
        <v>0</v>
      </c>
      <c r="M423" s="84">
        <v>0</v>
      </c>
      <c r="N423" s="84">
        <v>4299.43</v>
      </c>
    </row>
    <row r="424" spans="1:14" x14ac:dyDescent="0.25">
      <c r="A424" s="74" t="s">
        <v>1629</v>
      </c>
      <c r="B424" s="74">
        <v>3512</v>
      </c>
      <c r="C424" t="e">
        <f>VLOOKUP(B424,'Waste Lookups'!$B$1:$C$292,2,FALSE)</f>
        <v>#N/A</v>
      </c>
      <c r="D424" s="84">
        <v>0</v>
      </c>
      <c r="E424" s="84">
        <v>410.20363636363629</v>
      </c>
      <c r="F424" s="84">
        <v>0</v>
      </c>
      <c r="G424" s="84">
        <v>244.8</v>
      </c>
      <c r="H424" s="84">
        <v>0</v>
      </c>
      <c r="I424" s="84"/>
      <c r="J424" s="84">
        <v>0</v>
      </c>
      <c r="K424" s="84">
        <v>11.272709103627459</v>
      </c>
      <c r="L424" s="84">
        <v>0</v>
      </c>
      <c r="M424" s="84">
        <v>6.7272908963725389</v>
      </c>
      <c r="N424" s="84">
        <v>0</v>
      </c>
    </row>
    <row r="425" spans="1:14" x14ac:dyDescent="0.25">
      <c r="A425" s="74" t="s">
        <v>1631</v>
      </c>
      <c r="B425" s="74">
        <v>3513</v>
      </c>
      <c r="C425" t="e">
        <f>VLOOKUP(B425,'Waste Lookups'!$B$1:$C$292,2,FALSE)</f>
        <v>#N/A</v>
      </c>
      <c r="D425" s="84">
        <v>0</v>
      </c>
      <c r="E425" s="84">
        <v>420.5236363636364</v>
      </c>
      <c r="F425" s="84">
        <v>0</v>
      </c>
      <c r="G425" s="84">
        <v>0</v>
      </c>
      <c r="H425" s="84">
        <v>0</v>
      </c>
      <c r="I425" s="84"/>
      <c r="J425" s="84">
        <v>0</v>
      </c>
      <c r="K425" s="84">
        <v>0</v>
      </c>
      <c r="L425" s="84">
        <v>0</v>
      </c>
      <c r="M425" s="84">
        <v>0</v>
      </c>
      <c r="N425" s="84">
        <v>0</v>
      </c>
    </row>
    <row r="426" spans="1:14" x14ac:dyDescent="0.25">
      <c r="A426" s="74" t="s">
        <v>1633</v>
      </c>
      <c r="B426" s="74">
        <v>3515</v>
      </c>
      <c r="C426" t="e">
        <f>VLOOKUP(B426,'Waste Lookups'!$B$1:$C$292,2,FALSE)</f>
        <v>#N/A</v>
      </c>
      <c r="D426" s="84">
        <v>0</v>
      </c>
      <c r="E426" s="84">
        <v>875.41090909090917</v>
      </c>
      <c r="F426" s="84">
        <v>0</v>
      </c>
      <c r="G426" s="84">
        <v>1046.6618181818183</v>
      </c>
      <c r="H426" s="84">
        <v>0</v>
      </c>
      <c r="I426" s="84"/>
      <c r="J426" s="84">
        <v>0</v>
      </c>
      <c r="K426" s="84">
        <v>2676.4926285260231</v>
      </c>
      <c r="L426" s="84">
        <v>0</v>
      </c>
      <c r="M426" s="84">
        <v>3200.0773714739767</v>
      </c>
      <c r="N426" s="84">
        <v>0</v>
      </c>
    </row>
    <row r="427" spans="1:14" x14ac:dyDescent="0.25">
      <c r="A427" s="74" t="s">
        <v>1635</v>
      </c>
      <c r="B427" s="74">
        <v>3516</v>
      </c>
      <c r="C427" t="e">
        <f>VLOOKUP(B427,'Waste Lookups'!$B$1:$C$292,2,FALSE)</f>
        <v>#N/A</v>
      </c>
      <c r="D427" s="84">
        <v>9550.1127272727281</v>
      </c>
      <c r="E427" s="84">
        <v>2774.9890909090905</v>
      </c>
      <c r="F427" s="84">
        <v>3037.090909090909</v>
      </c>
      <c r="G427" s="84">
        <v>0</v>
      </c>
      <c r="H427" s="84">
        <v>0</v>
      </c>
      <c r="I427" s="84"/>
      <c r="J427" s="84">
        <v>1545.9835882448601</v>
      </c>
      <c r="K427" s="84">
        <v>449.21852910202443</v>
      </c>
      <c r="L427" s="84">
        <v>491.64788265311557</v>
      </c>
      <c r="M427" s="84">
        <v>0</v>
      </c>
      <c r="N427" s="84">
        <v>0</v>
      </c>
    </row>
    <row r="428" spans="1:14" x14ac:dyDescent="0.25">
      <c r="A428" s="74" t="s">
        <v>1637</v>
      </c>
      <c r="B428" s="74">
        <v>3519</v>
      </c>
      <c r="C428" t="e">
        <f>VLOOKUP(B428,'Waste Lookups'!$B$1:$C$292,2,FALSE)</f>
        <v>#N/A</v>
      </c>
      <c r="D428" s="84">
        <v>3552.949090909091</v>
      </c>
      <c r="E428" s="84">
        <v>791.54181818181826</v>
      </c>
      <c r="F428" s="84">
        <v>0</v>
      </c>
      <c r="G428" s="84">
        <v>211.41818181818184</v>
      </c>
      <c r="H428" s="84">
        <v>0</v>
      </c>
      <c r="I428" s="84"/>
      <c r="J428" s="84">
        <v>1592.7761240347202</v>
      </c>
      <c r="K428" s="84">
        <v>354.84575683926965</v>
      </c>
      <c r="L428" s="84">
        <v>0</v>
      </c>
      <c r="M428" s="84">
        <v>94.778119126010182</v>
      </c>
      <c r="N428" s="84">
        <v>0</v>
      </c>
    </row>
    <row r="429" spans="1:14" x14ac:dyDescent="0.25">
      <c r="A429" s="74" t="s">
        <v>1639</v>
      </c>
      <c r="B429" s="74">
        <v>3520</v>
      </c>
      <c r="C429" t="e">
        <f>VLOOKUP(B429,'Waste Lookups'!$B$1:$C$292,2,FALSE)</f>
        <v>#N/A</v>
      </c>
      <c r="D429" s="84">
        <v>432.80727272727279</v>
      </c>
      <c r="E429" s="84">
        <v>324.76363636363635</v>
      </c>
      <c r="F429" s="84">
        <v>0</v>
      </c>
      <c r="G429" s="84">
        <v>252</v>
      </c>
      <c r="H429" s="84">
        <v>0</v>
      </c>
      <c r="I429" s="84"/>
      <c r="J429" s="84">
        <v>15.51480441735823</v>
      </c>
      <c r="K429" s="84">
        <v>11.641773642807744</v>
      </c>
      <c r="L429" s="84">
        <v>0</v>
      </c>
      <c r="M429" s="84">
        <v>9.0334219398340245</v>
      </c>
      <c r="N429" s="84">
        <v>0</v>
      </c>
    </row>
    <row r="430" spans="1:14" x14ac:dyDescent="0.25">
      <c r="A430" s="74" t="s">
        <v>1641</v>
      </c>
      <c r="B430" s="74">
        <v>3522</v>
      </c>
      <c r="C430" t="e">
        <f>VLOOKUP(B430,'Waste Lookups'!$B$1:$C$292,2,FALSE)</f>
        <v>#N/A</v>
      </c>
      <c r="D430" s="84">
        <v>1531.330909090909</v>
      </c>
      <c r="E430" s="84">
        <v>0</v>
      </c>
      <c r="F430" s="84">
        <v>0</v>
      </c>
      <c r="G430" s="84">
        <v>0</v>
      </c>
      <c r="H430" s="84">
        <v>0</v>
      </c>
      <c r="I430" s="84"/>
      <c r="J430" s="84">
        <v>1498.4</v>
      </c>
      <c r="K430" s="84">
        <v>0</v>
      </c>
      <c r="L430" s="84">
        <v>0</v>
      </c>
      <c r="M430" s="84">
        <v>0</v>
      </c>
      <c r="N430" s="84">
        <v>0</v>
      </c>
    </row>
    <row r="431" spans="1:14" x14ac:dyDescent="0.25">
      <c r="A431" s="74" t="s">
        <v>1643</v>
      </c>
      <c r="B431" s="74">
        <v>3523</v>
      </c>
      <c r="C431" t="e">
        <f>VLOOKUP(B431,'Waste Lookups'!$B$1:$C$292,2,FALSE)</f>
        <v>#N/A</v>
      </c>
      <c r="D431" s="84">
        <v>0</v>
      </c>
      <c r="E431" s="84">
        <v>409.65818181818179</v>
      </c>
      <c r="F431" s="84">
        <v>0</v>
      </c>
      <c r="G431" s="84">
        <v>187.2</v>
      </c>
      <c r="H431" s="84">
        <v>0</v>
      </c>
      <c r="I431" s="84"/>
      <c r="J431" s="84">
        <v>0</v>
      </c>
      <c r="K431" s="84">
        <v>0</v>
      </c>
      <c r="L431" s="84">
        <v>0</v>
      </c>
      <c r="M431" s="84">
        <v>0</v>
      </c>
      <c r="N431" s="84">
        <v>0</v>
      </c>
    </row>
    <row r="432" spans="1:14" x14ac:dyDescent="0.25">
      <c r="A432" s="74" t="s">
        <v>1645</v>
      </c>
      <c r="B432" s="74">
        <v>3541</v>
      </c>
      <c r="C432" t="e">
        <f>VLOOKUP(B432,'Waste Lookups'!$B$1:$C$292,2,FALSE)</f>
        <v>#N/A</v>
      </c>
      <c r="D432" s="84">
        <v>0</v>
      </c>
      <c r="E432" s="84">
        <v>1031.9127272727271</v>
      </c>
      <c r="F432" s="84">
        <v>0</v>
      </c>
      <c r="G432" s="84">
        <v>0</v>
      </c>
      <c r="H432" s="84">
        <v>49.74545454545455</v>
      </c>
      <c r="I432" s="84"/>
      <c r="J432" s="84">
        <v>0</v>
      </c>
      <c r="K432" s="84">
        <v>1082.0572276908181</v>
      </c>
      <c r="L432" s="84">
        <v>0</v>
      </c>
      <c r="M432" s="84">
        <v>0</v>
      </c>
      <c r="N432" s="84">
        <v>52.162772309181875</v>
      </c>
    </row>
    <row r="433" spans="1:14" x14ac:dyDescent="0.25">
      <c r="A433" s="74" t="s">
        <v>1647</v>
      </c>
      <c r="B433" s="74">
        <v>3542</v>
      </c>
      <c r="C433" t="e">
        <f>VLOOKUP(B433,'Waste Lookups'!$B$1:$C$292,2,FALSE)</f>
        <v>#N/A</v>
      </c>
      <c r="D433" s="84">
        <v>0</v>
      </c>
      <c r="E433" s="84">
        <v>487.76727272727271</v>
      </c>
      <c r="F433" s="84">
        <v>0</v>
      </c>
      <c r="G433" s="84">
        <v>0</v>
      </c>
      <c r="H433" s="84">
        <v>0</v>
      </c>
      <c r="I433" s="84"/>
      <c r="J433" s="84">
        <v>0</v>
      </c>
      <c r="K433" s="84">
        <v>0</v>
      </c>
      <c r="L433" s="84">
        <v>0</v>
      </c>
      <c r="M433" s="84">
        <v>0</v>
      </c>
      <c r="N433" s="84">
        <v>0</v>
      </c>
    </row>
    <row r="434" spans="1:14" x14ac:dyDescent="0.25">
      <c r="A434" s="74" t="s">
        <v>1649</v>
      </c>
      <c r="B434" s="74">
        <v>3543</v>
      </c>
      <c r="C434" t="e">
        <f>VLOOKUP(B434,'Waste Lookups'!$B$1:$C$292,2,FALSE)</f>
        <v>#N/A</v>
      </c>
      <c r="D434" s="84">
        <v>0</v>
      </c>
      <c r="E434" s="84">
        <v>537.31636363636369</v>
      </c>
      <c r="F434" s="84">
        <v>0</v>
      </c>
      <c r="G434" s="84">
        <v>0</v>
      </c>
      <c r="H434" s="84">
        <v>0</v>
      </c>
      <c r="I434" s="84"/>
      <c r="J434" s="84">
        <v>0</v>
      </c>
      <c r="K434" s="84">
        <v>714.68</v>
      </c>
      <c r="L434" s="84">
        <v>0</v>
      </c>
      <c r="M434" s="84">
        <v>0</v>
      </c>
      <c r="N434" s="84">
        <v>0</v>
      </c>
    </row>
    <row r="435" spans="1:14" x14ac:dyDescent="0.25">
      <c r="A435" s="74" t="s">
        <v>1651</v>
      </c>
      <c r="B435" s="74">
        <v>3544</v>
      </c>
      <c r="C435" t="e">
        <f>VLOOKUP(B435,'Waste Lookups'!$B$1:$C$292,2,FALSE)</f>
        <v>#N/A</v>
      </c>
      <c r="D435" s="84">
        <v>0</v>
      </c>
      <c r="E435" s="84">
        <v>1001.5418181818183</v>
      </c>
      <c r="F435" s="84">
        <v>0</v>
      </c>
      <c r="G435" s="84">
        <v>0</v>
      </c>
      <c r="H435" s="84">
        <v>0</v>
      </c>
      <c r="I435" s="84"/>
      <c r="J435" s="84">
        <v>0</v>
      </c>
      <c r="K435" s="84">
        <v>1766.21</v>
      </c>
      <c r="L435" s="84">
        <v>0</v>
      </c>
      <c r="M435" s="84">
        <v>0</v>
      </c>
      <c r="N435" s="84">
        <v>0</v>
      </c>
    </row>
    <row r="436" spans="1:14" x14ac:dyDescent="0.25">
      <c r="A436" s="74" t="s">
        <v>698</v>
      </c>
      <c r="B436" s="74">
        <v>3545</v>
      </c>
      <c r="C436" t="str">
        <f>VLOOKUP(B436,'Waste Lookups'!$B$1:$C$292,2,FALSE)</f>
        <v>Conway Road Health Centre</v>
      </c>
      <c r="D436" s="84">
        <v>0</v>
      </c>
      <c r="E436" s="84">
        <v>641.60727272727274</v>
      </c>
      <c r="F436" s="84">
        <v>0</v>
      </c>
      <c r="G436" s="84">
        <v>0</v>
      </c>
      <c r="H436" s="84">
        <v>0</v>
      </c>
      <c r="I436" s="84"/>
      <c r="J436" s="84">
        <v>0</v>
      </c>
      <c r="K436" s="84">
        <v>1515.6</v>
      </c>
      <c r="L436" s="84">
        <v>0</v>
      </c>
      <c r="M436" s="84">
        <v>0</v>
      </c>
      <c r="N436" s="84">
        <v>0</v>
      </c>
    </row>
    <row r="437" spans="1:14" x14ac:dyDescent="0.25">
      <c r="A437" s="74" t="s">
        <v>1654</v>
      </c>
      <c r="B437" s="74">
        <v>3546</v>
      </c>
      <c r="C437" t="e">
        <f>VLOOKUP(B437,'Waste Lookups'!$B$1:$C$292,2,FALSE)</f>
        <v>#N/A</v>
      </c>
      <c r="D437" s="84">
        <v>0</v>
      </c>
      <c r="E437" s="84">
        <v>837.10909090909104</v>
      </c>
      <c r="F437" s="84">
        <v>0</v>
      </c>
      <c r="G437" s="84">
        <v>0</v>
      </c>
      <c r="H437" s="84">
        <v>0</v>
      </c>
      <c r="I437" s="84"/>
      <c r="J437" s="84">
        <v>0</v>
      </c>
      <c r="K437" s="84">
        <v>1544.02</v>
      </c>
      <c r="L437" s="84">
        <v>0</v>
      </c>
      <c r="M437" s="84">
        <v>0</v>
      </c>
      <c r="N437" s="84">
        <v>0</v>
      </c>
    </row>
    <row r="438" spans="1:14" x14ac:dyDescent="0.25">
      <c r="A438" s="74" t="s">
        <v>1656</v>
      </c>
      <c r="B438" s="74">
        <v>3547</v>
      </c>
      <c r="C438" t="e">
        <f>VLOOKUP(B438,'Waste Lookups'!$B$1:$C$292,2,FALSE)</f>
        <v>#N/A</v>
      </c>
      <c r="D438" s="84">
        <v>0</v>
      </c>
      <c r="E438" s="84">
        <v>1272.2727272727273</v>
      </c>
      <c r="F438" s="84">
        <v>0</v>
      </c>
      <c r="G438" s="84">
        <v>0</v>
      </c>
      <c r="H438" s="84">
        <v>392.72727272727275</v>
      </c>
      <c r="I438" s="84"/>
      <c r="J438" s="84">
        <v>0</v>
      </c>
      <c r="K438" s="84">
        <v>1564.307076167076</v>
      </c>
      <c r="L438" s="84">
        <v>0</v>
      </c>
      <c r="M438" s="84">
        <v>0</v>
      </c>
      <c r="N438" s="84">
        <v>482.87292383292385</v>
      </c>
    </row>
    <row r="439" spans="1:14" x14ac:dyDescent="0.25">
      <c r="A439" s="74" t="s">
        <v>1658</v>
      </c>
      <c r="B439" s="74">
        <v>3548</v>
      </c>
      <c r="C439" t="e">
        <f>VLOOKUP(B439,'Waste Lookups'!$B$1:$C$292,2,FALSE)</f>
        <v>#N/A</v>
      </c>
      <c r="D439" s="84">
        <v>0</v>
      </c>
      <c r="E439" s="84">
        <v>720.28363636363633</v>
      </c>
      <c r="F439" s="84">
        <v>0</v>
      </c>
      <c r="G439" s="84">
        <v>0</v>
      </c>
      <c r="H439" s="84">
        <v>0</v>
      </c>
      <c r="I439" s="84"/>
      <c r="J439" s="84">
        <v>0</v>
      </c>
      <c r="K439" s="84">
        <v>1290.1300000000001</v>
      </c>
      <c r="L439" s="84">
        <v>0</v>
      </c>
      <c r="M439" s="84">
        <v>0</v>
      </c>
      <c r="N439" s="84">
        <v>0</v>
      </c>
    </row>
    <row r="440" spans="1:14" x14ac:dyDescent="0.25">
      <c r="A440" s="74" t="s">
        <v>699</v>
      </c>
      <c r="B440" s="74">
        <v>3550</v>
      </c>
      <c r="C440" t="str">
        <f>VLOOKUP(B440,'Waste Lookups'!$B$1:$C$292,2,FALSE)</f>
        <v>Oakland House 2nd Floor</v>
      </c>
      <c r="D440" s="84">
        <v>0</v>
      </c>
      <c r="E440" s="84">
        <v>686.61818181818182</v>
      </c>
      <c r="F440" s="84">
        <v>0</v>
      </c>
      <c r="G440" s="84">
        <v>0</v>
      </c>
      <c r="H440" s="84">
        <v>3141.4581818181823</v>
      </c>
      <c r="I440" s="84"/>
      <c r="J440" s="84">
        <v>0</v>
      </c>
      <c r="K440" s="84">
        <v>760.00013678837968</v>
      </c>
      <c r="L440" s="84">
        <v>0</v>
      </c>
      <c r="M440" s="84">
        <v>0</v>
      </c>
      <c r="N440" s="84">
        <v>3477.1998632116201</v>
      </c>
    </row>
    <row r="441" spans="1:14" x14ac:dyDescent="0.25">
      <c r="A441" s="74" t="s">
        <v>1661</v>
      </c>
      <c r="B441" s="74">
        <v>3553</v>
      </c>
      <c r="C441" t="e">
        <f>VLOOKUP(B441,'Waste Lookups'!$B$1:$C$292,2,FALSE)</f>
        <v>#N/A</v>
      </c>
      <c r="D441" s="84">
        <v>1480.0581818181818</v>
      </c>
      <c r="E441" s="84">
        <v>858.65454545454554</v>
      </c>
      <c r="F441" s="84">
        <v>0</v>
      </c>
      <c r="G441" s="84">
        <v>0</v>
      </c>
      <c r="H441" s="84">
        <v>2762.3345454545452</v>
      </c>
      <c r="I441" s="84"/>
      <c r="J441" s="84">
        <v>1139.5239824121677</v>
      </c>
      <c r="K441" s="84">
        <v>661.09390777508793</v>
      </c>
      <c r="L441" s="84">
        <v>0</v>
      </c>
      <c r="M441" s="84">
        <v>0</v>
      </c>
      <c r="N441" s="84">
        <v>2126.772109812744</v>
      </c>
    </row>
    <row r="442" spans="1:14" x14ac:dyDescent="0.25">
      <c r="A442" s="74" t="s">
        <v>1663</v>
      </c>
      <c r="B442" s="74">
        <v>3556</v>
      </c>
      <c r="C442" t="e">
        <f>VLOOKUP(B442,'Waste Lookups'!$B$1:$C$292,2,FALSE)</f>
        <v>#N/A</v>
      </c>
      <c r="D442" s="84">
        <v>0</v>
      </c>
      <c r="E442" s="84">
        <v>1276.090909090909</v>
      </c>
      <c r="F442" s="84">
        <v>0</v>
      </c>
      <c r="G442" s="84">
        <v>0</v>
      </c>
      <c r="H442" s="84">
        <v>1090.909090909091</v>
      </c>
      <c r="I442" s="84"/>
      <c r="J442" s="84">
        <v>0</v>
      </c>
      <c r="K442" s="84">
        <v>1280.220548450282</v>
      </c>
      <c r="L442" s="84">
        <v>0</v>
      </c>
      <c r="M442" s="84">
        <v>0</v>
      </c>
      <c r="N442" s="84">
        <v>1094.4394515497179</v>
      </c>
    </row>
    <row r="443" spans="1:14" x14ac:dyDescent="0.25">
      <c r="A443" s="74" t="s">
        <v>1665</v>
      </c>
      <c r="B443" s="74">
        <v>3557</v>
      </c>
      <c r="C443" t="e">
        <f>VLOOKUP(B443,'Waste Lookups'!$B$1:$C$292,2,FALSE)</f>
        <v>#N/A</v>
      </c>
      <c r="D443" s="84">
        <v>0</v>
      </c>
      <c r="E443" s="84">
        <v>818.04</v>
      </c>
      <c r="F443" s="84">
        <v>0</v>
      </c>
      <c r="G443" s="84">
        <v>0</v>
      </c>
      <c r="H443" s="84">
        <v>0</v>
      </c>
      <c r="I443" s="84"/>
      <c r="J443" s="84">
        <v>0</v>
      </c>
      <c r="K443" s="84">
        <v>1234.1500000000001</v>
      </c>
      <c r="L443" s="84">
        <v>0</v>
      </c>
      <c r="M443" s="84">
        <v>0</v>
      </c>
      <c r="N443" s="84">
        <v>0</v>
      </c>
    </row>
    <row r="444" spans="1:14" x14ac:dyDescent="0.25">
      <c r="A444" s="74" t="s">
        <v>1667</v>
      </c>
      <c r="B444" s="74">
        <v>3574</v>
      </c>
      <c r="C444" t="e">
        <f>VLOOKUP(B444,'Waste Lookups'!$B$1:$C$292,2,FALSE)</f>
        <v>#N/A</v>
      </c>
      <c r="D444" s="84">
        <v>0</v>
      </c>
      <c r="E444" s="84">
        <v>1537.090909090909</v>
      </c>
      <c r="F444" s="84">
        <v>0</v>
      </c>
      <c r="G444" s="84">
        <v>0</v>
      </c>
      <c r="H444" s="84">
        <v>0</v>
      </c>
      <c r="I444" s="84"/>
      <c r="J444" s="84">
        <v>0</v>
      </c>
      <c r="K444" s="84">
        <v>1448.69</v>
      </c>
      <c r="L444" s="84">
        <v>0</v>
      </c>
      <c r="M444" s="84">
        <v>0</v>
      </c>
      <c r="N444" s="84">
        <v>0</v>
      </c>
    </row>
    <row r="445" spans="1:14" x14ac:dyDescent="0.25">
      <c r="A445" s="74" t="s">
        <v>1669</v>
      </c>
      <c r="B445" s="74">
        <v>3575</v>
      </c>
      <c r="C445" t="e">
        <f>VLOOKUP(B445,'Waste Lookups'!$B$1:$C$292,2,FALSE)</f>
        <v>#N/A</v>
      </c>
      <c r="D445" s="84">
        <v>0</v>
      </c>
      <c r="E445" s="84">
        <v>34.374545454545455</v>
      </c>
      <c r="F445" s="84">
        <v>0</v>
      </c>
      <c r="G445" s="84">
        <v>0</v>
      </c>
      <c r="H445" s="84">
        <v>0</v>
      </c>
      <c r="I445" s="84"/>
      <c r="J445" s="84">
        <v>0</v>
      </c>
      <c r="K445" s="84">
        <v>52.56</v>
      </c>
      <c r="L445" s="84">
        <v>0</v>
      </c>
      <c r="M445" s="84">
        <v>0</v>
      </c>
      <c r="N445" s="84">
        <v>0</v>
      </c>
    </row>
    <row r="446" spans="1:14" x14ac:dyDescent="0.25">
      <c r="A446" s="74" t="s">
        <v>1671</v>
      </c>
      <c r="B446" s="74">
        <v>3595</v>
      </c>
      <c r="C446" t="e">
        <f>VLOOKUP(B446,'Waste Lookups'!$B$1:$C$292,2,FALSE)</f>
        <v>#N/A</v>
      </c>
      <c r="D446" s="84">
        <v>0</v>
      </c>
      <c r="E446" s="84">
        <v>356.02909090909094</v>
      </c>
      <c r="F446" s="84">
        <v>0</v>
      </c>
      <c r="G446" s="84">
        <v>0</v>
      </c>
      <c r="H446" s="84">
        <v>0</v>
      </c>
      <c r="I446" s="84"/>
      <c r="J446" s="84">
        <v>0</v>
      </c>
      <c r="K446" s="84">
        <v>0</v>
      </c>
      <c r="L446" s="84">
        <v>0</v>
      </c>
      <c r="M446" s="84">
        <v>0</v>
      </c>
      <c r="N446" s="84">
        <v>0</v>
      </c>
    </row>
    <row r="447" spans="1:14" x14ac:dyDescent="0.25">
      <c r="A447" s="74" t="s">
        <v>1673</v>
      </c>
      <c r="B447" s="74">
        <v>3614</v>
      </c>
      <c r="C447" t="e">
        <f>VLOOKUP(B447,'Waste Lookups'!$B$1:$C$292,2,FALSE)</f>
        <v>#N/A</v>
      </c>
      <c r="D447" s="84">
        <v>2576.4545454545455</v>
      </c>
      <c r="E447" s="84">
        <v>1013.6290909090909</v>
      </c>
      <c r="F447" s="84">
        <v>0</v>
      </c>
      <c r="G447" s="84">
        <v>0</v>
      </c>
      <c r="H447" s="84">
        <v>687.27272727272725</v>
      </c>
      <c r="I447" s="84"/>
      <c r="J447" s="84">
        <v>2102.6080954421295</v>
      </c>
      <c r="K447" s="84">
        <v>827.20835734561626</v>
      </c>
      <c r="L447" s="84">
        <v>0</v>
      </c>
      <c r="M447" s="84">
        <v>0</v>
      </c>
      <c r="N447" s="84">
        <v>560.87354721225438</v>
      </c>
    </row>
    <row r="448" spans="1:14" x14ac:dyDescent="0.25">
      <c r="A448" s="74" t="s">
        <v>1675</v>
      </c>
      <c r="B448" s="74">
        <v>3616</v>
      </c>
      <c r="C448" t="e">
        <f>VLOOKUP(B448,'Waste Lookups'!$B$1:$C$292,2,FALSE)</f>
        <v>#N/A</v>
      </c>
      <c r="D448" s="84">
        <v>2935.7890909090911</v>
      </c>
      <c r="E448" s="84">
        <v>795.91636363636371</v>
      </c>
      <c r="F448" s="84">
        <v>0</v>
      </c>
      <c r="G448" s="84">
        <v>0</v>
      </c>
      <c r="H448" s="84">
        <v>927.48</v>
      </c>
      <c r="I448" s="84"/>
      <c r="J448" s="84">
        <v>2730.0806619651034</v>
      </c>
      <c r="K448" s="84">
        <v>740.14713101626808</v>
      </c>
      <c r="L448" s="84">
        <v>0</v>
      </c>
      <c r="M448" s="84">
        <v>0</v>
      </c>
      <c r="N448" s="84">
        <v>862.49220701862828</v>
      </c>
    </row>
    <row r="449" spans="1:14" x14ac:dyDescent="0.25">
      <c r="A449" s="74" t="s">
        <v>1677</v>
      </c>
      <c r="B449" s="74">
        <v>3617</v>
      </c>
      <c r="C449" t="e">
        <f>VLOOKUP(B449,'Waste Lookups'!$B$1:$C$292,2,FALSE)</f>
        <v>#N/A</v>
      </c>
      <c r="D449" s="84">
        <v>2983.3963636363637</v>
      </c>
      <c r="E449" s="84">
        <v>998.22545454545457</v>
      </c>
      <c r="F449" s="84">
        <v>0</v>
      </c>
      <c r="G449" s="84">
        <v>0</v>
      </c>
      <c r="H449" s="84">
        <v>729.81818181818187</v>
      </c>
      <c r="I449" s="84"/>
      <c r="J449" s="84">
        <v>2153.7717520989527</v>
      </c>
      <c r="K449" s="84">
        <v>720.63833435984827</v>
      </c>
      <c r="L449" s="84">
        <v>0</v>
      </c>
      <c r="M449" s="84">
        <v>0</v>
      </c>
      <c r="N449" s="84">
        <v>526.8699135411988</v>
      </c>
    </row>
    <row r="450" spans="1:14" x14ac:dyDescent="0.25">
      <c r="A450" s="74" t="s">
        <v>1679</v>
      </c>
      <c r="B450" s="74">
        <v>3618</v>
      </c>
      <c r="C450" t="e">
        <f>VLOOKUP(B450,'Waste Lookups'!$B$1:$C$292,2,FALSE)</f>
        <v>#N/A</v>
      </c>
      <c r="D450" s="84">
        <v>1214.0945454545456</v>
      </c>
      <c r="E450" s="84">
        <v>2390.7272727272725</v>
      </c>
      <c r="F450" s="84">
        <v>0</v>
      </c>
      <c r="G450" s="84">
        <v>0</v>
      </c>
      <c r="H450" s="84">
        <v>669.38181818181818</v>
      </c>
      <c r="I450" s="84"/>
      <c r="J450" s="84">
        <v>1165.1428937065152</v>
      </c>
      <c r="K450" s="84">
        <v>2294.3344099825931</v>
      </c>
      <c r="L450" s="84">
        <v>0</v>
      </c>
      <c r="M450" s="84">
        <v>0</v>
      </c>
      <c r="N450" s="84">
        <v>642.39269631089167</v>
      </c>
    </row>
    <row r="451" spans="1:14" x14ac:dyDescent="0.25">
      <c r="A451" s="74" t="s">
        <v>1681</v>
      </c>
      <c r="B451" s="74">
        <v>3619</v>
      </c>
      <c r="C451" t="e">
        <f>VLOOKUP(B451,'Waste Lookups'!$B$1:$C$292,2,FALSE)</f>
        <v>#N/A</v>
      </c>
      <c r="D451" s="84">
        <v>4977.7090909090912</v>
      </c>
      <c r="E451" s="84">
        <v>920.61818181818182</v>
      </c>
      <c r="F451" s="84">
        <v>49.74545454545455</v>
      </c>
      <c r="G451" s="84">
        <v>0</v>
      </c>
      <c r="H451" s="84">
        <v>745.09090909090912</v>
      </c>
      <c r="I451" s="84"/>
      <c r="J451" s="84">
        <v>3285.1184362877725</v>
      </c>
      <c r="K451" s="84">
        <v>607.57663950190693</v>
      </c>
      <c r="L451" s="84">
        <v>32.830305440558071</v>
      </c>
      <c r="M451" s="84">
        <v>0</v>
      </c>
      <c r="N451" s="84">
        <v>491.73461876976233</v>
      </c>
    </row>
    <row r="452" spans="1:14" x14ac:dyDescent="0.25">
      <c r="A452" s="74" t="s">
        <v>1683</v>
      </c>
      <c r="B452" s="74">
        <v>3620</v>
      </c>
      <c r="C452" t="e">
        <f>VLOOKUP(B452,'Waste Lookups'!$B$1:$C$292,2,FALSE)</f>
        <v>#N/A</v>
      </c>
      <c r="D452" s="84">
        <v>0</v>
      </c>
      <c r="E452" s="84">
        <v>969.12</v>
      </c>
      <c r="F452" s="84">
        <v>0</v>
      </c>
      <c r="G452" s="84">
        <v>0</v>
      </c>
      <c r="H452" s="84">
        <v>85.090909090909093</v>
      </c>
      <c r="I452" s="84"/>
      <c r="J452" s="84">
        <v>0</v>
      </c>
      <c r="K452" s="84">
        <v>574.33233329194093</v>
      </c>
      <c r="L452" s="84">
        <v>0</v>
      </c>
      <c r="M452" s="84">
        <v>0</v>
      </c>
      <c r="N452" s="84">
        <v>50.427666708059114</v>
      </c>
    </row>
    <row r="453" spans="1:14" x14ac:dyDescent="0.25">
      <c r="A453" s="74" t="s">
        <v>1685</v>
      </c>
      <c r="B453" s="74">
        <v>3622</v>
      </c>
      <c r="C453" t="e">
        <f>VLOOKUP(B453,'Waste Lookups'!$B$1:$C$292,2,FALSE)</f>
        <v>#N/A</v>
      </c>
      <c r="D453" s="84">
        <v>6407.6836363636367</v>
      </c>
      <c r="E453" s="84">
        <v>3280.2109090909094</v>
      </c>
      <c r="F453" s="84">
        <v>0</v>
      </c>
      <c r="G453" s="84">
        <v>0</v>
      </c>
      <c r="H453" s="84">
        <v>2273.8799999999997</v>
      </c>
      <c r="I453" s="84"/>
      <c r="J453" s="84">
        <v>5928.547563721163</v>
      </c>
      <c r="K453" s="84">
        <v>3034.9323557769476</v>
      </c>
      <c r="L453" s="84">
        <v>0</v>
      </c>
      <c r="M453" s="84">
        <v>0</v>
      </c>
      <c r="N453" s="84">
        <v>2103.8500805018894</v>
      </c>
    </row>
    <row r="454" spans="1:14" x14ac:dyDescent="0.25">
      <c r="A454" s="74" t="s">
        <v>1687</v>
      </c>
      <c r="B454" s="74">
        <v>3623</v>
      </c>
      <c r="C454" t="e">
        <f>VLOOKUP(B454,'Waste Lookups'!$B$1:$C$292,2,FALSE)</f>
        <v>#N/A</v>
      </c>
      <c r="D454" s="84">
        <v>0</v>
      </c>
      <c r="E454" s="84">
        <v>1563.4690909090909</v>
      </c>
      <c r="F454" s="84">
        <v>0</v>
      </c>
      <c r="G454" s="84">
        <v>0</v>
      </c>
      <c r="H454" s="84">
        <v>869.73818181818183</v>
      </c>
      <c r="I454" s="84"/>
      <c r="J454" s="84">
        <v>0</v>
      </c>
      <c r="K454" s="84">
        <v>1466.3936592779901</v>
      </c>
      <c r="L454" s="84">
        <v>0</v>
      </c>
      <c r="M454" s="84">
        <v>0</v>
      </c>
      <c r="N454" s="84">
        <v>815.73634072201003</v>
      </c>
    </row>
    <row r="455" spans="1:14" x14ac:dyDescent="0.25">
      <c r="A455" s="74" t="s">
        <v>706</v>
      </c>
      <c r="B455" s="74">
        <v>3624</v>
      </c>
      <c r="C455" t="str">
        <f>VLOOKUP(B455,'Waste Lookups'!$B$1:$C$292,2,FALSE)</f>
        <v>Croston House Offices</v>
      </c>
      <c r="D455" s="84">
        <v>0</v>
      </c>
      <c r="E455" s="84">
        <v>0</v>
      </c>
      <c r="F455" s="84">
        <v>0</v>
      </c>
      <c r="G455" s="84">
        <v>0</v>
      </c>
      <c r="H455" s="84">
        <v>923.83636363636356</v>
      </c>
      <c r="I455" s="84"/>
      <c r="J455" s="84">
        <v>0</v>
      </c>
      <c r="K455" s="84">
        <v>0</v>
      </c>
      <c r="L455" s="84">
        <v>0</v>
      </c>
      <c r="M455" s="84">
        <v>0</v>
      </c>
      <c r="N455" s="84">
        <v>1064.18</v>
      </c>
    </row>
    <row r="456" spans="1:14" x14ac:dyDescent="0.25">
      <c r="A456" s="74" t="s">
        <v>1690</v>
      </c>
      <c r="B456" s="74">
        <v>3625</v>
      </c>
      <c r="C456" t="e">
        <f>VLOOKUP(B456,'Waste Lookups'!$B$1:$C$292,2,FALSE)</f>
        <v>#N/A</v>
      </c>
      <c r="D456" s="84">
        <v>2403.6</v>
      </c>
      <c r="E456" s="84">
        <v>1319.64</v>
      </c>
      <c r="F456" s="84">
        <v>0</v>
      </c>
      <c r="G456" s="84">
        <v>0</v>
      </c>
      <c r="H456" s="84">
        <v>614.89090909090908</v>
      </c>
      <c r="I456" s="84"/>
      <c r="J456" s="84">
        <v>2391.8311875411782</v>
      </c>
      <c r="K456" s="84">
        <v>1313.1786105536864</v>
      </c>
      <c r="L456" s="84">
        <v>0</v>
      </c>
      <c r="M456" s="84">
        <v>0</v>
      </c>
      <c r="N456" s="84">
        <v>611.88020190513555</v>
      </c>
    </row>
    <row r="457" spans="1:14" x14ac:dyDescent="0.25">
      <c r="A457" s="74" t="s">
        <v>1692</v>
      </c>
      <c r="B457" s="74">
        <v>3627</v>
      </c>
      <c r="C457" t="e">
        <f>VLOOKUP(B457,'Waste Lookups'!$B$1:$C$292,2,FALSE)</f>
        <v>#N/A</v>
      </c>
      <c r="D457" s="84">
        <v>1936.2545454545452</v>
      </c>
      <c r="E457" s="84">
        <v>0</v>
      </c>
      <c r="F457" s="84">
        <v>0</v>
      </c>
      <c r="G457" s="84">
        <v>0</v>
      </c>
      <c r="H457" s="84">
        <v>565.63636363636363</v>
      </c>
      <c r="I457" s="84"/>
      <c r="J457" s="84">
        <v>2274.3237673323451</v>
      </c>
      <c r="K457" s="84">
        <v>0</v>
      </c>
      <c r="L457" s="84">
        <v>0</v>
      </c>
      <c r="M457" s="84">
        <v>0</v>
      </c>
      <c r="N457" s="84">
        <v>664.396232667655</v>
      </c>
    </row>
    <row r="458" spans="1:14" x14ac:dyDescent="0.25">
      <c r="A458" s="74" t="s">
        <v>1694</v>
      </c>
      <c r="B458" s="74">
        <v>3628</v>
      </c>
      <c r="C458" t="e">
        <f>VLOOKUP(B458,'Waste Lookups'!$B$1:$C$292,2,FALSE)</f>
        <v>#N/A</v>
      </c>
      <c r="D458" s="84">
        <v>5103.0872727272726</v>
      </c>
      <c r="E458" s="84">
        <v>777.81818181818176</v>
      </c>
      <c r="F458" s="84">
        <v>0</v>
      </c>
      <c r="G458" s="84">
        <v>0</v>
      </c>
      <c r="H458" s="84">
        <v>912.09818181818196</v>
      </c>
      <c r="I458" s="84"/>
      <c r="J458" s="84">
        <v>4559.8197614390419</v>
      </c>
      <c r="K458" s="84">
        <v>695.01274948128446</v>
      </c>
      <c r="L458" s="84">
        <v>0</v>
      </c>
      <c r="M458" s="84">
        <v>0</v>
      </c>
      <c r="N458" s="84">
        <v>814.99748907967353</v>
      </c>
    </row>
    <row r="459" spans="1:14" x14ac:dyDescent="0.25">
      <c r="A459" s="74" t="s">
        <v>1696</v>
      </c>
      <c r="B459" s="74">
        <v>3630</v>
      </c>
      <c r="C459" t="e">
        <f>VLOOKUP(B459,'Waste Lookups'!$B$1:$C$292,2,FALSE)</f>
        <v>#N/A</v>
      </c>
      <c r="D459" s="84">
        <v>126.16363636363636</v>
      </c>
      <c r="E459" s="84">
        <v>1329.0763636363636</v>
      </c>
      <c r="F459" s="84">
        <v>0</v>
      </c>
      <c r="G459" s="84">
        <v>0</v>
      </c>
      <c r="H459" s="84">
        <v>745.09090909090912</v>
      </c>
      <c r="I459" s="84"/>
      <c r="J459" s="84">
        <v>107.90242418082568</v>
      </c>
      <c r="K459" s="84">
        <v>1136.7028225506574</v>
      </c>
      <c r="L459" s="84">
        <v>0</v>
      </c>
      <c r="M459" s="84">
        <v>0</v>
      </c>
      <c r="N459" s="84">
        <v>637.24475326851655</v>
      </c>
    </row>
    <row r="460" spans="1:14" x14ac:dyDescent="0.25">
      <c r="A460" s="74" t="s">
        <v>1698</v>
      </c>
      <c r="B460" s="74">
        <v>3631</v>
      </c>
      <c r="C460" t="e">
        <f>VLOOKUP(B460,'Waste Lookups'!$B$1:$C$292,2,FALSE)</f>
        <v>#N/A</v>
      </c>
      <c r="D460" s="84">
        <v>3040.7890909090911</v>
      </c>
      <c r="E460" s="84">
        <v>1169.4545454545455</v>
      </c>
      <c r="F460" s="84">
        <v>0</v>
      </c>
      <c r="G460" s="84">
        <v>0</v>
      </c>
      <c r="H460" s="84">
        <v>1175.7054545454546</v>
      </c>
      <c r="I460" s="84"/>
      <c r="J460" s="84">
        <v>2710.2742725921185</v>
      </c>
      <c r="K460" s="84">
        <v>1042.3421265839193</v>
      </c>
      <c r="L460" s="84">
        <v>0</v>
      </c>
      <c r="M460" s="84">
        <v>0</v>
      </c>
      <c r="N460" s="84">
        <v>1047.9136008239618</v>
      </c>
    </row>
    <row r="461" spans="1:14" x14ac:dyDescent="0.25">
      <c r="A461" s="74" t="s">
        <v>707</v>
      </c>
      <c r="B461" s="74">
        <v>3632</v>
      </c>
      <c r="C461" t="str">
        <f>VLOOKUP(B461,'Waste Lookups'!$B$1:$C$292,2,FALSE)</f>
        <v>Jubilee House</v>
      </c>
      <c r="D461" s="84">
        <v>0</v>
      </c>
      <c r="E461" s="84">
        <v>3855.1090909090908</v>
      </c>
      <c r="F461" s="84">
        <v>0</v>
      </c>
      <c r="G461" s="84">
        <v>0</v>
      </c>
      <c r="H461" s="84">
        <v>5163.0218181818191</v>
      </c>
      <c r="I461" s="84"/>
      <c r="J461" s="84">
        <v>0</v>
      </c>
      <c r="K461" s="84">
        <v>3391.0403305704144</v>
      </c>
      <c r="L461" s="84">
        <v>0</v>
      </c>
      <c r="M461" s="84">
        <v>0</v>
      </c>
      <c r="N461" s="84">
        <v>4541.5096694295862</v>
      </c>
    </row>
    <row r="462" spans="1:14" x14ac:dyDescent="0.25">
      <c r="A462" s="74" t="s">
        <v>1701</v>
      </c>
      <c r="B462" s="74">
        <v>3634</v>
      </c>
      <c r="C462" t="e">
        <f>VLOOKUP(B462,'Waste Lookups'!$B$1:$C$292,2,FALSE)</f>
        <v>#N/A</v>
      </c>
      <c r="D462" s="84">
        <v>2932.7236363636366</v>
      </c>
      <c r="E462" s="84">
        <v>0</v>
      </c>
      <c r="F462" s="84">
        <v>0</v>
      </c>
      <c r="G462" s="84">
        <v>0</v>
      </c>
      <c r="H462" s="84">
        <v>989.12727272727284</v>
      </c>
      <c r="I462" s="84"/>
      <c r="J462" s="84">
        <v>3263.5306063927142</v>
      </c>
      <c r="K462" s="84">
        <v>0</v>
      </c>
      <c r="L462" s="84">
        <v>0</v>
      </c>
      <c r="M462" s="84">
        <v>0</v>
      </c>
      <c r="N462" s="84">
        <v>1100.6993936072856</v>
      </c>
    </row>
    <row r="463" spans="1:14" x14ac:dyDescent="0.25">
      <c r="A463" s="74" t="s">
        <v>1703</v>
      </c>
      <c r="B463" s="74">
        <v>3635</v>
      </c>
      <c r="C463" t="e">
        <f>VLOOKUP(B463,'Waste Lookups'!$B$1:$C$292,2,FALSE)</f>
        <v>#N/A</v>
      </c>
      <c r="D463" s="84">
        <v>588</v>
      </c>
      <c r="E463" s="84">
        <v>47.596363636363641</v>
      </c>
      <c r="F463" s="84">
        <v>0</v>
      </c>
      <c r="G463" s="84">
        <v>0</v>
      </c>
      <c r="H463" s="84">
        <v>1103.5963636363635</v>
      </c>
      <c r="I463" s="84"/>
      <c r="J463" s="84">
        <v>1327.48857777276</v>
      </c>
      <c r="K463" s="84">
        <v>107.45515148093789</v>
      </c>
      <c r="L463" s="84">
        <v>0</v>
      </c>
      <c r="M463" s="84">
        <v>0</v>
      </c>
      <c r="N463" s="84">
        <v>2491.5162707463028</v>
      </c>
    </row>
    <row r="464" spans="1:14" x14ac:dyDescent="0.25">
      <c r="A464" s="74" t="s">
        <v>1705</v>
      </c>
      <c r="B464" s="74">
        <v>3636</v>
      </c>
      <c r="C464" t="e">
        <f>VLOOKUP(B464,'Waste Lookups'!$B$1:$C$292,2,FALSE)</f>
        <v>#N/A</v>
      </c>
      <c r="D464" s="84">
        <v>3000.7963636363634</v>
      </c>
      <c r="E464" s="84">
        <v>795.91636363636371</v>
      </c>
      <c r="F464" s="84">
        <v>0</v>
      </c>
      <c r="G464" s="84">
        <v>0</v>
      </c>
      <c r="H464" s="84">
        <v>1175.6727272727273</v>
      </c>
      <c r="I464" s="84"/>
      <c r="J464" s="84">
        <v>2740.5973641844485</v>
      </c>
      <c r="K464" s="84">
        <v>726.90246986630166</v>
      </c>
      <c r="L464" s="84">
        <v>0</v>
      </c>
      <c r="M464" s="84">
        <v>0</v>
      </c>
      <c r="N464" s="84">
        <v>1073.73016594925</v>
      </c>
    </row>
    <row r="465" spans="1:14" x14ac:dyDescent="0.25">
      <c r="A465" s="74" t="s">
        <v>1707</v>
      </c>
      <c r="B465" s="74">
        <v>3637</v>
      </c>
      <c r="C465" t="e">
        <f>VLOOKUP(B465,'Waste Lookups'!$B$1:$C$292,2,FALSE)</f>
        <v>#N/A</v>
      </c>
      <c r="D465" s="84">
        <v>0</v>
      </c>
      <c r="E465" s="84">
        <v>0</v>
      </c>
      <c r="F465" s="84">
        <v>0</v>
      </c>
      <c r="G465" s="84">
        <v>0</v>
      </c>
      <c r="H465" s="84">
        <v>2064.3818181818183</v>
      </c>
      <c r="I465" s="84"/>
      <c r="J465" s="84">
        <v>0</v>
      </c>
      <c r="K465" s="84">
        <v>0</v>
      </c>
      <c r="L465" s="84">
        <v>0</v>
      </c>
      <c r="M465" s="84">
        <v>0</v>
      </c>
      <c r="N465" s="84">
        <v>2392.4899999999998</v>
      </c>
    </row>
    <row r="466" spans="1:14" x14ac:dyDescent="0.25">
      <c r="A466" s="74" t="s">
        <v>708</v>
      </c>
      <c r="B466" s="74">
        <v>3642</v>
      </c>
      <c r="C466" t="str">
        <f>VLOOKUP(B466,'Waste Lookups'!$B$1:$C$292,2,FALSE)</f>
        <v>ODGH Hilldale Unit</v>
      </c>
      <c r="D466" s="84">
        <v>0</v>
      </c>
      <c r="E466" s="84">
        <v>0</v>
      </c>
      <c r="F466" s="84">
        <v>0</v>
      </c>
      <c r="G466" s="84">
        <v>0</v>
      </c>
      <c r="H466" s="84">
        <v>1499.6945454545455</v>
      </c>
      <c r="I466" s="84"/>
      <c r="J466" s="84">
        <v>0</v>
      </c>
      <c r="K466" s="84">
        <v>0</v>
      </c>
      <c r="L466" s="84">
        <v>0</v>
      </c>
      <c r="M466" s="84">
        <v>0</v>
      </c>
      <c r="N466" s="84">
        <v>0</v>
      </c>
    </row>
    <row r="467" spans="1:14" x14ac:dyDescent="0.25">
      <c r="A467" s="74" t="s">
        <v>1710</v>
      </c>
      <c r="B467" s="74">
        <v>3643</v>
      </c>
      <c r="C467" t="e">
        <f>VLOOKUP(B467,'Waste Lookups'!$B$1:$C$292,2,FALSE)</f>
        <v>#N/A</v>
      </c>
      <c r="D467" s="84">
        <v>3198.9490909090905</v>
      </c>
      <c r="E467" s="84">
        <v>1273.0036363636364</v>
      </c>
      <c r="F467" s="84">
        <v>0</v>
      </c>
      <c r="G467" s="84">
        <v>0</v>
      </c>
      <c r="H467" s="84">
        <v>863.21454545454549</v>
      </c>
      <c r="I467" s="84"/>
      <c r="J467" s="84">
        <v>2549.6173986672316</v>
      </c>
      <c r="K467" s="84">
        <v>1014.605774459828</v>
      </c>
      <c r="L467" s="84">
        <v>0</v>
      </c>
      <c r="M467" s="84">
        <v>0</v>
      </c>
      <c r="N467" s="84">
        <v>687.99682687294148</v>
      </c>
    </row>
    <row r="468" spans="1:14" x14ac:dyDescent="0.25">
      <c r="A468" s="74" t="s">
        <v>709</v>
      </c>
      <c r="B468" s="74">
        <v>3644</v>
      </c>
      <c r="C468" t="str">
        <f>VLOOKUP(B468,'Waste Lookups'!$B$1:$C$292,2,FALSE)</f>
        <v>Preston Healthport</v>
      </c>
      <c r="D468" s="84">
        <v>3729.5563636363631</v>
      </c>
      <c r="E468" s="84">
        <v>558.5454545454545</v>
      </c>
      <c r="F468" s="84">
        <v>0</v>
      </c>
      <c r="G468" s="84">
        <v>0</v>
      </c>
      <c r="H468" s="84">
        <v>2109.8618181818183</v>
      </c>
      <c r="I468" s="84"/>
      <c r="J468" s="84">
        <v>4648.6053971490919</v>
      </c>
      <c r="K468" s="84">
        <v>696.18398581366785</v>
      </c>
      <c r="L468" s="84">
        <v>0</v>
      </c>
      <c r="M468" s="84">
        <v>0</v>
      </c>
      <c r="N468" s="84">
        <v>2629.7806170372392</v>
      </c>
    </row>
    <row r="469" spans="1:14" x14ac:dyDescent="0.25">
      <c r="A469" s="74" t="s">
        <v>1713</v>
      </c>
      <c r="B469" s="74">
        <v>3645</v>
      </c>
      <c r="C469" t="e">
        <f>VLOOKUP(B469,'Waste Lookups'!$B$1:$C$292,2,FALSE)</f>
        <v>#N/A</v>
      </c>
      <c r="D469" s="84">
        <v>5570.8145454545456</v>
      </c>
      <c r="E469" s="84">
        <v>1167.4909090909091</v>
      </c>
      <c r="F469" s="84">
        <v>72.010909090909095</v>
      </c>
      <c r="G469" s="84">
        <v>0</v>
      </c>
      <c r="H469" s="84">
        <v>745.09090909090912</v>
      </c>
      <c r="I469" s="84"/>
      <c r="J469" s="84">
        <v>3896.6244887875605</v>
      </c>
      <c r="K469" s="84">
        <v>816.62629938245311</v>
      </c>
      <c r="L469" s="84">
        <v>50.369558981719059</v>
      </c>
      <c r="M469" s="84">
        <v>0</v>
      </c>
      <c r="N469" s="84">
        <v>521.16965284826722</v>
      </c>
    </row>
    <row r="470" spans="1:14" x14ac:dyDescent="0.25">
      <c r="A470" s="74" t="s">
        <v>1715</v>
      </c>
      <c r="B470" s="74">
        <v>3646</v>
      </c>
      <c r="C470" t="e">
        <f>VLOOKUP(B470,'Waste Lookups'!$B$1:$C$292,2,FALSE)</f>
        <v>#N/A</v>
      </c>
      <c r="D470" s="84">
        <v>3829.1781818181817</v>
      </c>
      <c r="E470" s="84">
        <v>1064.9890909090909</v>
      </c>
      <c r="F470" s="84">
        <v>0</v>
      </c>
      <c r="G470" s="84">
        <v>0</v>
      </c>
      <c r="H470" s="84">
        <v>774.5454545454545</v>
      </c>
      <c r="I470" s="84"/>
      <c r="J470" s="84">
        <v>2753.041007482218</v>
      </c>
      <c r="K470" s="84">
        <v>765.68874588170104</v>
      </c>
      <c r="L470" s="84">
        <v>0</v>
      </c>
      <c r="M470" s="84">
        <v>0</v>
      </c>
      <c r="N470" s="84">
        <v>556.87024663608088</v>
      </c>
    </row>
    <row r="471" spans="1:14" x14ac:dyDescent="0.25">
      <c r="A471" s="74" t="s">
        <v>1717</v>
      </c>
      <c r="B471" s="74">
        <v>3648</v>
      </c>
      <c r="C471" t="e">
        <f>VLOOKUP(B471,'Waste Lookups'!$B$1:$C$292,2,FALSE)</f>
        <v>#N/A</v>
      </c>
      <c r="D471" s="84">
        <v>1948.9636363636364</v>
      </c>
      <c r="E471" s="84">
        <v>2370.2727272727275</v>
      </c>
      <c r="F471" s="84">
        <v>0</v>
      </c>
      <c r="G471" s="84">
        <v>0</v>
      </c>
      <c r="H471" s="84">
        <v>840.3054545454545</v>
      </c>
      <c r="I471" s="84"/>
      <c r="J471" s="84">
        <v>1243.8702995826266</v>
      </c>
      <c r="K471" s="84">
        <v>1512.7587772064326</v>
      </c>
      <c r="L471" s="84">
        <v>0</v>
      </c>
      <c r="M471" s="84">
        <v>0</v>
      </c>
      <c r="N471" s="84">
        <v>536.30092321094048</v>
      </c>
    </row>
    <row r="472" spans="1:14" x14ac:dyDescent="0.25">
      <c r="A472" s="74" t="s">
        <v>1719</v>
      </c>
      <c r="B472" s="74">
        <v>3649</v>
      </c>
      <c r="C472" t="e">
        <f>VLOOKUP(B472,'Waste Lookups'!$B$1:$C$292,2,FALSE)</f>
        <v>#N/A</v>
      </c>
      <c r="D472" s="84">
        <v>2838.5018181818182</v>
      </c>
      <c r="E472" s="84">
        <v>2685.8836363636365</v>
      </c>
      <c r="F472" s="84">
        <v>0</v>
      </c>
      <c r="G472" s="84">
        <v>177.84</v>
      </c>
      <c r="H472" s="84">
        <v>0</v>
      </c>
      <c r="I472" s="84"/>
      <c r="J472" s="84">
        <v>6461.7915225443085</v>
      </c>
      <c r="K472" s="84">
        <v>6114.3593429550956</v>
      </c>
      <c r="L472" s="84">
        <v>0</v>
      </c>
      <c r="M472" s="84">
        <v>404.8491345005969</v>
      </c>
      <c r="N472" s="84">
        <v>0</v>
      </c>
    </row>
    <row r="473" spans="1:14" x14ac:dyDescent="0.25">
      <c r="A473" s="74" t="s">
        <v>1721</v>
      </c>
      <c r="B473" s="74">
        <v>3650</v>
      </c>
      <c r="C473" t="e">
        <f>VLOOKUP(B473,'Waste Lookups'!$B$1:$C$292,2,FALSE)</f>
        <v>#N/A</v>
      </c>
      <c r="D473" s="84">
        <v>2661.8945454545456</v>
      </c>
      <c r="E473" s="84">
        <v>1436.3345454545456</v>
      </c>
      <c r="F473" s="84">
        <v>0</v>
      </c>
      <c r="G473" s="84">
        <v>355.68</v>
      </c>
      <c r="H473" s="84">
        <v>0</v>
      </c>
      <c r="I473" s="84"/>
      <c r="J473" s="84">
        <v>2714.1061022350132</v>
      </c>
      <c r="K473" s="84">
        <v>1464.5074356254975</v>
      </c>
      <c r="L473" s="84">
        <v>0</v>
      </c>
      <c r="M473" s="84">
        <v>362.65646213948929</v>
      </c>
      <c r="N473" s="84">
        <v>0</v>
      </c>
    </row>
    <row r="474" spans="1:14" x14ac:dyDescent="0.25">
      <c r="A474" s="74" t="s">
        <v>1723</v>
      </c>
      <c r="B474" s="74">
        <v>3652</v>
      </c>
      <c r="C474" t="e">
        <f>VLOOKUP(B474,'Waste Lookups'!$B$1:$C$292,2,FALSE)</f>
        <v>#N/A</v>
      </c>
      <c r="D474" s="84">
        <v>1000.9527272727272</v>
      </c>
      <c r="E474" s="84">
        <v>989.68363636363642</v>
      </c>
      <c r="F474" s="84">
        <v>0</v>
      </c>
      <c r="G474" s="84">
        <v>236.83636363636361</v>
      </c>
      <c r="H474" s="84">
        <v>0</v>
      </c>
      <c r="I474" s="84"/>
      <c r="J474" s="84">
        <v>1300.0771360286014</v>
      </c>
      <c r="K474" s="84">
        <v>1285.4403934177342</v>
      </c>
      <c r="L474" s="84">
        <v>0</v>
      </c>
      <c r="M474" s="84">
        <v>307.61247055366454</v>
      </c>
      <c r="N474" s="84">
        <v>0</v>
      </c>
    </row>
    <row r="475" spans="1:14" x14ac:dyDescent="0.25">
      <c r="A475" s="74" t="s">
        <v>1725</v>
      </c>
      <c r="B475" s="74">
        <v>3653</v>
      </c>
      <c r="C475" t="e">
        <f>VLOOKUP(B475,'Waste Lookups'!$B$1:$C$292,2,FALSE)</f>
        <v>#N/A</v>
      </c>
      <c r="D475" s="84">
        <v>1044.1200000000001</v>
      </c>
      <c r="E475" s="84">
        <v>2067.2945454545456</v>
      </c>
      <c r="F475" s="84">
        <v>0</v>
      </c>
      <c r="G475" s="84">
        <v>0</v>
      </c>
      <c r="H475" s="84">
        <v>0</v>
      </c>
      <c r="I475" s="84"/>
      <c r="J475" s="84">
        <v>259.81063422775259</v>
      </c>
      <c r="K475" s="84">
        <v>514.40936577224738</v>
      </c>
      <c r="L475" s="84">
        <v>0</v>
      </c>
      <c r="M475" s="84">
        <v>0</v>
      </c>
      <c r="N475" s="84">
        <v>0</v>
      </c>
    </row>
    <row r="476" spans="1:14" x14ac:dyDescent="0.25">
      <c r="A476" s="74" t="s">
        <v>1727</v>
      </c>
      <c r="B476" s="74">
        <v>3654</v>
      </c>
      <c r="C476" t="e">
        <f>VLOOKUP(B476,'Waste Lookups'!$B$1:$C$292,2,FALSE)</f>
        <v>#N/A</v>
      </c>
      <c r="D476" s="84">
        <v>1140.5454545454545</v>
      </c>
      <c r="E476" s="84">
        <v>537.9163636363636</v>
      </c>
      <c r="F476" s="84">
        <v>0</v>
      </c>
      <c r="G476" s="84">
        <v>273.27272727272725</v>
      </c>
      <c r="H476" s="84">
        <v>0</v>
      </c>
      <c r="I476" s="84"/>
      <c r="J476" s="84">
        <v>1449.063736312874</v>
      </c>
      <c r="K476" s="84">
        <v>683.42308726782881</v>
      </c>
      <c r="L476" s="84">
        <v>0</v>
      </c>
      <c r="M476" s="84">
        <v>347.19317641929689</v>
      </c>
      <c r="N476" s="84">
        <v>0</v>
      </c>
    </row>
    <row r="477" spans="1:14" x14ac:dyDescent="0.25">
      <c r="A477" s="74" t="s">
        <v>1729</v>
      </c>
      <c r="B477" s="74">
        <v>3655</v>
      </c>
      <c r="C477" t="e">
        <f>VLOOKUP(B477,'Waste Lookups'!$B$1:$C$292,2,FALSE)</f>
        <v>#N/A</v>
      </c>
      <c r="D477" s="84">
        <v>1515.6654545454544</v>
      </c>
      <c r="E477" s="84">
        <v>1134.1963636363637</v>
      </c>
      <c r="F477" s="84">
        <v>0</v>
      </c>
      <c r="G477" s="84">
        <v>0</v>
      </c>
      <c r="H477" s="84">
        <v>0</v>
      </c>
      <c r="I477" s="84"/>
      <c r="J477" s="84">
        <v>1495.5650706451927</v>
      </c>
      <c r="K477" s="84">
        <v>1119.1549293548067</v>
      </c>
      <c r="L477" s="84">
        <v>0</v>
      </c>
      <c r="M477" s="84">
        <v>0</v>
      </c>
      <c r="N477" s="84">
        <v>0</v>
      </c>
    </row>
    <row r="478" spans="1:14" x14ac:dyDescent="0.25">
      <c r="A478" s="74" t="s">
        <v>1731</v>
      </c>
      <c r="B478" s="74">
        <v>3657</v>
      </c>
      <c r="C478" t="e">
        <f>VLOOKUP(B478,'Waste Lookups'!$B$1:$C$292,2,FALSE)</f>
        <v>#N/A</v>
      </c>
      <c r="D478" s="84">
        <v>0</v>
      </c>
      <c r="E478" s="84">
        <v>1444.7345454545455</v>
      </c>
      <c r="F478" s="84">
        <v>0</v>
      </c>
      <c r="G478" s="84">
        <v>284.20363636363635</v>
      </c>
      <c r="H478" s="84">
        <v>0</v>
      </c>
      <c r="I478" s="84"/>
      <c r="J478" s="84">
        <v>0</v>
      </c>
      <c r="K478" s="84">
        <v>1345.2806259227943</v>
      </c>
      <c r="L478" s="84">
        <v>0</v>
      </c>
      <c r="M478" s="84">
        <v>264.63937407720556</v>
      </c>
      <c r="N478" s="84">
        <v>0</v>
      </c>
    </row>
    <row r="479" spans="1:14" x14ac:dyDescent="0.25">
      <c r="A479" s="74" t="s">
        <v>1733</v>
      </c>
      <c r="B479" s="74">
        <v>3658</v>
      </c>
      <c r="C479" t="e">
        <f>VLOOKUP(B479,'Waste Lookups'!$B$1:$C$292,2,FALSE)</f>
        <v>#N/A</v>
      </c>
      <c r="D479" s="84">
        <v>1510.1454545454544</v>
      </c>
      <c r="E479" s="84">
        <v>446.09454545454548</v>
      </c>
      <c r="F479" s="84">
        <v>0</v>
      </c>
      <c r="G479" s="84">
        <v>142.27636363636361</v>
      </c>
      <c r="H479" s="84">
        <v>0</v>
      </c>
      <c r="I479" s="84"/>
      <c r="J479" s="84">
        <v>1269.5917281819884</v>
      </c>
      <c r="K479" s="84">
        <v>375.03536046245671</v>
      </c>
      <c r="L479" s="84">
        <v>0</v>
      </c>
      <c r="M479" s="84">
        <v>119.6129113555551</v>
      </c>
      <c r="N479" s="84">
        <v>0</v>
      </c>
    </row>
    <row r="480" spans="1:14" x14ac:dyDescent="0.25">
      <c r="A480" s="74" t="s">
        <v>1735</v>
      </c>
      <c r="B480" s="74">
        <v>3660</v>
      </c>
      <c r="C480" t="e">
        <f>VLOOKUP(B480,'Waste Lookups'!$B$1:$C$292,2,FALSE)</f>
        <v>#N/A</v>
      </c>
      <c r="D480" s="84">
        <v>6651.2836363636361</v>
      </c>
      <c r="E480" s="84">
        <v>4421.04</v>
      </c>
      <c r="F480" s="84">
        <v>0</v>
      </c>
      <c r="G480" s="84">
        <v>0</v>
      </c>
      <c r="H480" s="84">
        <v>0</v>
      </c>
      <c r="I480" s="84"/>
      <c r="J480" s="84">
        <v>5326.4399843836682</v>
      </c>
      <c r="K480" s="84">
        <v>3540.4300156163335</v>
      </c>
      <c r="L480" s="84">
        <v>0</v>
      </c>
      <c r="M480" s="84">
        <v>0</v>
      </c>
      <c r="N480" s="84">
        <v>0</v>
      </c>
    </row>
    <row r="481" spans="1:14" x14ac:dyDescent="0.25">
      <c r="A481" s="74" t="s">
        <v>1737</v>
      </c>
      <c r="B481" s="74">
        <v>3661</v>
      </c>
      <c r="C481" t="e">
        <f>VLOOKUP(B481,'Waste Lookups'!$B$1:$C$292,2,FALSE)</f>
        <v>#N/A</v>
      </c>
      <c r="D481" s="84">
        <v>1710.7090909090909</v>
      </c>
      <c r="E481" s="84">
        <v>1020.9818181818182</v>
      </c>
      <c r="F481" s="84">
        <v>0</v>
      </c>
      <c r="G481" s="84">
        <v>0</v>
      </c>
      <c r="H481" s="84">
        <v>0</v>
      </c>
      <c r="I481" s="84"/>
      <c r="J481" s="84">
        <v>3751.2354889079688</v>
      </c>
      <c r="K481" s="84">
        <v>2238.8045110920307</v>
      </c>
      <c r="L481" s="84">
        <v>0</v>
      </c>
      <c r="M481" s="84">
        <v>0</v>
      </c>
      <c r="N481" s="84">
        <v>0</v>
      </c>
    </row>
    <row r="482" spans="1:14" x14ac:dyDescent="0.25">
      <c r="A482" s="74" t="s">
        <v>1739</v>
      </c>
      <c r="B482" s="74">
        <v>3664</v>
      </c>
      <c r="C482" t="e">
        <f>VLOOKUP(B482,'Waste Lookups'!$B$1:$C$292,2,FALSE)</f>
        <v>#N/A</v>
      </c>
      <c r="D482" s="84">
        <v>2625.8618181818183</v>
      </c>
      <c r="E482" s="84">
        <v>1072.810909090909</v>
      </c>
      <c r="F482" s="84">
        <v>0</v>
      </c>
      <c r="G482" s="84">
        <v>568.4072727272727</v>
      </c>
      <c r="H482" s="84">
        <v>0</v>
      </c>
      <c r="I482" s="84"/>
      <c r="J482" s="84">
        <v>1079.4262016776217</v>
      </c>
      <c r="K482" s="84">
        <v>441.00576683054283</v>
      </c>
      <c r="L482" s="84">
        <v>0</v>
      </c>
      <c r="M482" s="84">
        <v>233.65803149183557</v>
      </c>
      <c r="N482" s="84">
        <v>0</v>
      </c>
    </row>
    <row r="483" spans="1:14" x14ac:dyDescent="0.25">
      <c r="A483" s="74" t="s">
        <v>1741</v>
      </c>
      <c r="B483" s="74">
        <v>3666</v>
      </c>
      <c r="C483" t="e">
        <f>VLOOKUP(B483,'Waste Lookups'!$B$1:$C$292,2,FALSE)</f>
        <v>#N/A</v>
      </c>
      <c r="D483" s="84">
        <v>362.00727272727272</v>
      </c>
      <c r="E483" s="84">
        <v>0</v>
      </c>
      <c r="F483" s="84">
        <v>0</v>
      </c>
      <c r="G483" s="84">
        <v>0</v>
      </c>
      <c r="H483" s="84">
        <v>0</v>
      </c>
      <c r="I483" s="84"/>
      <c r="J483" s="84">
        <v>2522.1999999999998</v>
      </c>
      <c r="K483" s="84">
        <v>0</v>
      </c>
      <c r="L483" s="84">
        <v>0</v>
      </c>
      <c r="M483" s="84">
        <v>0</v>
      </c>
      <c r="N483" s="84">
        <v>0</v>
      </c>
    </row>
    <row r="484" spans="1:14" x14ac:dyDescent="0.25">
      <c r="A484" s="74" t="s">
        <v>1743</v>
      </c>
      <c r="B484" s="74">
        <v>3667</v>
      </c>
      <c r="C484" t="e">
        <f>VLOOKUP(B484,'Waste Lookups'!$B$1:$C$292,2,FALSE)</f>
        <v>#N/A</v>
      </c>
      <c r="D484" s="84">
        <v>2092.1236363636363</v>
      </c>
      <c r="E484" s="84">
        <v>2653.701818181818</v>
      </c>
      <c r="F484" s="84">
        <v>0</v>
      </c>
      <c r="G484" s="84">
        <v>467.65090909090907</v>
      </c>
      <c r="H484" s="84">
        <v>0</v>
      </c>
      <c r="I484" s="84"/>
      <c r="J484" s="84">
        <v>1748.0056143309712</v>
      </c>
      <c r="K484" s="84">
        <v>2217.213933400571</v>
      </c>
      <c r="L484" s="84">
        <v>0</v>
      </c>
      <c r="M484" s="84">
        <v>390.73045226845665</v>
      </c>
      <c r="N484" s="84">
        <v>0</v>
      </c>
    </row>
    <row r="485" spans="1:14" x14ac:dyDescent="0.25">
      <c r="A485" s="74" t="s">
        <v>1745</v>
      </c>
      <c r="B485" s="74">
        <v>3669</v>
      </c>
      <c r="C485" t="e">
        <f>VLOOKUP(B485,'Waste Lookups'!$B$1:$C$292,2,FALSE)</f>
        <v>#N/A</v>
      </c>
      <c r="D485" s="84">
        <v>1874.2909090909091</v>
      </c>
      <c r="E485" s="84">
        <v>1100.1818181818182</v>
      </c>
      <c r="F485" s="84">
        <v>0</v>
      </c>
      <c r="G485" s="84">
        <v>284.20363636363635</v>
      </c>
      <c r="H485" s="84">
        <v>0</v>
      </c>
      <c r="I485" s="84"/>
      <c r="J485" s="84">
        <v>751.55659196818351</v>
      </c>
      <c r="K485" s="84">
        <v>441.15291484774639</v>
      </c>
      <c r="L485" s="84">
        <v>0</v>
      </c>
      <c r="M485" s="84">
        <v>113.96049318407027</v>
      </c>
      <c r="N485" s="84">
        <v>0</v>
      </c>
    </row>
    <row r="486" spans="1:14" x14ac:dyDescent="0.25">
      <c r="A486" s="74" t="s">
        <v>1747</v>
      </c>
      <c r="B486" s="74">
        <v>3670</v>
      </c>
      <c r="C486" t="e">
        <f>VLOOKUP(B486,'Waste Lookups'!$B$1:$C$292,2,FALSE)</f>
        <v>#N/A</v>
      </c>
      <c r="D486" s="84">
        <v>0</v>
      </c>
      <c r="E486" s="84">
        <v>570.43636363636369</v>
      </c>
      <c r="F486" s="84">
        <v>0</v>
      </c>
      <c r="G486" s="84">
        <v>0</v>
      </c>
      <c r="H486" s="84">
        <v>0</v>
      </c>
      <c r="I486" s="84"/>
      <c r="J486" s="84">
        <v>0</v>
      </c>
      <c r="K486" s="84">
        <v>539.24</v>
      </c>
      <c r="L486" s="84">
        <v>0</v>
      </c>
      <c r="M486" s="84">
        <v>0</v>
      </c>
      <c r="N486" s="84">
        <v>0</v>
      </c>
    </row>
    <row r="487" spans="1:14" x14ac:dyDescent="0.25">
      <c r="A487" s="74" t="s">
        <v>1749</v>
      </c>
      <c r="B487" s="74">
        <v>3671</v>
      </c>
      <c r="C487" t="e">
        <f>VLOOKUP(B487,'Waste Lookups'!$B$1:$C$292,2,FALSE)</f>
        <v>#N/A</v>
      </c>
      <c r="D487" s="84">
        <v>0</v>
      </c>
      <c r="E487" s="84">
        <v>858.25090909090909</v>
      </c>
      <c r="F487" s="84">
        <v>0</v>
      </c>
      <c r="G487" s="84">
        <v>0</v>
      </c>
      <c r="H487" s="84">
        <v>0</v>
      </c>
      <c r="I487" s="84"/>
      <c r="J487" s="84">
        <v>0</v>
      </c>
      <c r="K487" s="84">
        <v>593.04</v>
      </c>
      <c r="L487" s="84">
        <v>0</v>
      </c>
      <c r="M487" s="84">
        <v>0</v>
      </c>
      <c r="N487" s="84">
        <v>0</v>
      </c>
    </row>
    <row r="488" spans="1:14" x14ac:dyDescent="0.25">
      <c r="A488" s="74" t="s">
        <v>1751</v>
      </c>
      <c r="B488" s="74">
        <v>3673</v>
      </c>
      <c r="C488" t="e">
        <f>VLOOKUP(B488,'Waste Lookups'!$B$1:$C$292,2,FALSE)</f>
        <v>#N/A</v>
      </c>
      <c r="D488" s="84">
        <v>1363.1781818181817</v>
      </c>
      <c r="E488" s="84">
        <v>0</v>
      </c>
      <c r="F488" s="84">
        <v>0</v>
      </c>
      <c r="G488" s="84">
        <v>0</v>
      </c>
      <c r="H488" s="84">
        <v>0</v>
      </c>
      <c r="I488" s="84"/>
      <c r="J488" s="84">
        <v>1169.9100000000001</v>
      </c>
      <c r="K488" s="84">
        <v>0</v>
      </c>
      <c r="L488" s="84">
        <v>0</v>
      </c>
      <c r="M488" s="84">
        <v>0</v>
      </c>
      <c r="N488" s="84">
        <v>0</v>
      </c>
    </row>
    <row r="489" spans="1:14" x14ac:dyDescent="0.25">
      <c r="A489" s="74" t="s">
        <v>1753</v>
      </c>
      <c r="B489" s="74">
        <v>3675</v>
      </c>
      <c r="C489" t="e">
        <f>VLOOKUP(B489,'Waste Lookups'!$B$1:$C$292,2,FALSE)</f>
        <v>#N/A</v>
      </c>
      <c r="D489" s="84">
        <v>0</v>
      </c>
      <c r="E489" s="84">
        <v>648.45818181818174</v>
      </c>
      <c r="F489" s="84">
        <v>0</v>
      </c>
      <c r="G489" s="84">
        <v>142.27636363636361</v>
      </c>
      <c r="H489" s="84">
        <v>0</v>
      </c>
      <c r="I489" s="84"/>
      <c r="J489" s="84">
        <v>0</v>
      </c>
      <c r="K489" s="84">
        <v>452.11314248661768</v>
      </c>
      <c r="L489" s="84">
        <v>0</v>
      </c>
      <c r="M489" s="84">
        <v>99.196857513382255</v>
      </c>
      <c r="N489" s="84">
        <v>0</v>
      </c>
    </row>
    <row r="490" spans="1:14" x14ac:dyDescent="0.25">
      <c r="A490" s="74" t="s">
        <v>1755</v>
      </c>
      <c r="B490" s="74">
        <v>3677</v>
      </c>
      <c r="C490" t="e">
        <f>VLOOKUP(B490,'Waste Lookups'!$B$1:$C$292,2,FALSE)</f>
        <v>#N/A</v>
      </c>
      <c r="D490" s="84">
        <v>17.596363636363634</v>
      </c>
      <c r="E490" s="84">
        <v>646.85454545454547</v>
      </c>
      <c r="F490" s="84">
        <v>0</v>
      </c>
      <c r="G490" s="84">
        <v>136.35272727272726</v>
      </c>
      <c r="H490" s="84">
        <v>0</v>
      </c>
      <c r="I490" s="84"/>
      <c r="J490" s="84">
        <v>14.422009072704235</v>
      </c>
      <c r="K490" s="84">
        <v>530.16306755486539</v>
      </c>
      <c r="L490" s="84">
        <v>0</v>
      </c>
      <c r="M490" s="84">
        <v>111.75492337243041</v>
      </c>
      <c r="N490" s="84">
        <v>0</v>
      </c>
    </row>
    <row r="491" spans="1:14" x14ac:dyDescent="0.25">
      <c r="A491" s="74" t="s">
        <v>1757</v>
      </c>
      <c r="B491" s="74">
        <v>3678</v>
      </c>
      <c r="C491" t="e">
        <f>VLOOKUP(B491,'Waste Lookups'!$B$1:$C$292,2,FALSE)</f>
        <v>#N/A</v>
      </c>
      <c r="D491" s="84">
        <v>3057.2836363636366</v>
      </c>
      <c r="E491" s="84">
        <v>908.47636363636366</v>
      </c>
      <c r="F491" s="84">
        <v>0</v>
      </c>
      <c r="G491" s="84">
        <v>240.48</v>
      </c>
      <c r="H491" s="84">
        <v>0</v>
      </c>
      <c r="I491" s="84"/>
      <c r="J491" s="84">
        <v>2496.5519534094806</v>
      </c>
      <c r="K491" s="84">
        <v>741.85411300613123</v>
      </c>
      <c r="L491" s="84">
        <v>0</v>
      </c>
      <c r="M491" s="84">
        <v>196.37393358438891</v>
      </c>
      <c r="N491" s="84">
        <v>0</v>
      </c>
    </row>
    <row r="492" spans="1:14" x14ac:dyDescent="0.25">
      <c r="A492" s="74" t="s">
        <v>1759</v>
      </c>
      <c r="B492" s="74">
        <v>3679</v>
      </c>
      <c r="C492" t="e">
        <f>VLOOKUP(B492,'Waste Lookups'!$B$1:$C$292,2,FALSE)</f>
        <v>#N/A</v>
      </c>
      <c r="D492" s="84">
        <v>0</v>
      </c>
      <c r="E492" s="84">
        <v>202.90909090909093</v>
      </c>
      <c r="F492" s="84">
        <v>0</v>
      </c>
      <c r="G492" s="84">
        <v>0</v>
      </c>
      <c r="H492" s="84">
        <v>0</v>
      </c>
      <c r="I492" s="84"/>
      <c r="J492" s="84">
        <v>0</v>
      </c>
      <c r="K492" s="84">
        <v>0</v>
      </c>
      <c r="L492" s="84">
        <v>0</v>
      </c>
      <c r="M492" s="84">
        <v>0</v>
      </c>
      <c r="N492" s="84">
        <v>0</v>
      </c>
    </row>
    <row r="493" spans="1:14" x14ac:dyDescent="0.25">
      <c r="A493" s="74" t="s">
        <v>1761</v>
      </c>
      <c r="B493" s="74">
        <v>3680</v>
      </c>
      <c r="C493" t="e">
        <f>VLOOKUP(B493,'Waste Lookups'!$B$1:$C$292,2,FALSE)</f>
        <v>#N/A</v>
      </c>
      <c r="D493" s="84">
        <v>0</v>
      </c>
      <c r="E493" s="84">
        <v>1151.9454545454546</v>
      </c>
      <c r="F493" s="84">
        <v>0</v>
      </c>
      <c r="G493" s="84">
        <v>284.20363636363635</v>
      </c>
      <c r="H493" s="84">
        <v>0</v>
      </c>
      <c r="I493" s="84"/>
      <c r="J493" s="84">
        <v>0</v>
      </c>
      <c r="K493" s="84">
        <v>940.1497907282353</v>
      </c>
      <c r="L493" s="84">
        <v>0</v>
      </c>
      <c r="M493" s="84">
        <v>231.95020927176458</v>
      </c>
      <c r="N493" s="84">
        <v>0</v>
      </c>
    </row>
    <row r="494" spans="1:14" x14ac:dyDescent="0.25">
      <c r="A494" s="74" t="s">
        <v>1763</v>
      </c>
      <c r="B494" s="74">
        <v>3683</v>
      </c>
      <c r="C494" t="e">
        <f>VLOOKUP(B494,'Waste Lookups'!$B$1:$C$292,2,FALSE)</f>
        <v>#N/A</v>
      </c>
      <c r="D494" s="84">
        <v>0</v>
      </c>
      <c r="E494" s="84">
        <v>585.16363636363633</v>
      </c>
      <c r="F494" s="84">
        <v>0</v>
      </c>
      <c r="G494" s="84">
        <v>0</v>
      </c>
      <c r="H494" s="84">
        <v>0</v>
      </c>
      <c r="I494" s="84"/>
      <c r="J494" s="84">
        <v>0</v>
      </c>
      <c r="K494" s="84">
        <v>2133.27</v>
      </c>
      <c r="L494" s="84">
        <v>0</v>
      </c>
      <c r="M494" s="84">
        <v>0</v>
      </c>
      <c r="N494" s="84">
        <v>0</v>
      </c>
    </row>
    <row r="495" spans="1:14" x14ac:dyDescent="0.25">
      <c r="A495" s="74" t="s">
        <v>1765</v>
      </c>
      <c r="B495" s="74">
        <v>3685</v>
      </c>
      <c r="C495" t="e">
        <f>VLOOKUP(B495,'Waste Lookups'!$B$1:$C$292,2,FALSE)</f>
        <v>#N/A</v>
      </c>
      <c r="D495" s="84">
        <v>2932.167272727273</v>
      </c>
      <c r="E495" s="84">
        <v>1730.3345454545456</v>
      </c>
      <c r="F495" s="84">
        <v>0</v>
      </c>
      <c r="G495" s="84">
        <v>565.14545454545453</v>
      </c>
      <c r="H495" s="84">
        <v>0</v>
      </c>
      <c r="I495" s="84"/>
      <c r="J495" s="84">
        <v>4293.9461495698051</v>
      </c>
      <c r="K495" s="84">
        <v>2533.9493513995176</v>
      </c>
      <c r="L495" s="84">
        <v>0</v>
      </c>
      <c r="M495" s="84">
        <v>827.61449903067808</v>
      </c>
      <c r="N495" s="84">
        <v>0</v>
      </c>
    </row>
    <row r="496" spans="1:14" x14ac:dyDescent="0.25">
      <c r="A496" s="74" t="s">
        <v>1767</v>
      </c>
      <c r="B496" s="74">
        <v>3686</v>
      </c>
      <c r="C496" t="e">
        <f>VLOOKUP(B496,'Waste Lookups'!$B$1:$C$292,2,FALSE)</f>
        <v>#N/A</v>
      </c>
      <c r="D496" s="84">
        <v>0</v>
      </c>
      <c r="E496" s="84">
        <v>263.21454545454543</v>
      </c>
      <c r="F496" s="84">
        <v>0</v>
      </c>
      <c r="G496" s="84">
        <v>0</v>
      </c>
      <c r="H496" s="84">
        <v>0</v>
      </c>
      <c r="I496" s="84"/>
      <c r="J496" s="84">
        <v>0</v>
      </c>
      <c r="K496" s="84">
        <v>0</v>
      </c>
      <c r="L496" s="84">
        <v>0</v>
      </c>
      <c r="M496" s="84">
        <v>0</v>
      </c>
      <c r="N496" s="84">
        <v>0</v>
      </c>
    </row>
    <row r="497" spans="1:14" x14ac:dyDescent="0.25">
      <c r="A497" s="74" t="s">
        <v>1769</v>
      </c>
      <c r="B497" s="74">
        <v>3687</v>
      </c>
      <c r="C497" t="e">
        <f>VLOOKUP(B497,'Waste Lookups'!$B$1:$C$292,2,FALSE)</f>
        <v>#N/A</v>
      </c>
      <c r="D497" s="84">
        <v>2709.4145454545455</v>
      </c>
      <c r="E497" s="84">
        <v>0</v>
      </c>
      <c r="F497" s="84">
        <v>0</v>
      </c>
      <c r="G497" s="84">
        <v>0</v>
      </c>
      <c r="H497" s="84">
        <v>0</v>
      </c>
      <c r="I497" s="84"/>
      <c r="J497" s="84">
        <v>10065.89</v>
      </c>
      <c r="K497" s="84">
        <v>0</v>
      </c>
      <c r="L497" s="84">
        <v>0</v>
      </c>
      <c r="M497" s="84">
        <v>0</v>
      </c>
      <c r="N497" s="84">
        <v>0</v>
      </c>
    </row>
    <row r="498" spans="1:14" x14ac:dyDescent="0.25">
      <c r="A498" s="74" t="s">
        <v>767</v>
      </c>
      <c r="B498" s="74">
        <v>3688</v>
      </c>
      <c r="C498" t="str">
        <f>VLOOKUP(B498,'Waste Lookups'!$B$1:$C$292,2,FALSE)</f>
        <v>Walshaw House</v>
      </c>
      <c r="D498" s="84">
        <v>0</v>
      </c>
      <c r="E498" s="84">
        <v>1666.5927272727272</v>
      </c>
      <c r="F498" s="84">
        <v>0</v>
      </c>
      <c r="G498" s="84">
        <v>852.61090909090899</v>
      </c>
      <c r="H498" s="84">
        <v>0</v>
      </c>
      <c r="I498" s="84"/>
      <c r="J498" s="84">
        <v>0</v>
      </c>
      <c r="K498" s="84">
        <v>2085.5136525395474</v>
      </c>
      <c r="L498" s="84">
        <v>0</v>
      </c>
      <c r="M498" s="84">
        <v>1066.9263474604529</v>
      </c>
      <c r="N498" s="84">
        <v>0</v>
      </c>
    </row>
    <row r="499" spans="1:14" x14ac:dyDescent="0.25">
      <c r="A499" s="74" t="s">
        <v>1772</v>
      </c>
      <c r="B499" s="74">
        <v>3689</v>
      </c>
      <c r="C499" t="e">
        <f>VLOOKUP(B499,'Waste Lookups'!$B$1:$C$292,2,FALSE)</f>
        <v>#N/A</v>
      </c>
      <c r="D499" s="84">
        <v>1339.2436363636364</v>
      </c>
      <c r="E499" s="84">
        <v>2062.221818181818</v>
      </c>
      <c r="F499" s="84">
        <v>0</v>
      </c>
      <c r="G499" s="84">
        <v>284.20363636363635</v>
      </c>
      <c r="H499" s="84">
        <v>0</v>
      </c>
      <c r="I499" s="84"/>
      <c r="J499" s="84">
        <v>970.06135875661914</v>
      </c>
      <c r="K499" s="84">
        <v>1493.7399325150286</v>
      </c>
      <c r="L499" s="84">
        <v>0</v>
      </c>
      <c r="M499" s="84">
        <v>205.85870872835227</v>
      </c>
      <c r="N499" s="84">
        <v>0</v>
      </c>
    </row>
    <row r="500" spans="1:14" x14ac:dyDescent="0.25">
      <c r="A500" s="74" t="s">
        <v>1774</v>
      </c>
      <c r="B500" s="74">
        <v>3691</v>
      </c>
      <c r="C500" t="e">
        <f>VLOOKUP(B500,'Waste Lookups'!$B$1:$C$292,2,FALSE)</f>
        <v>#N/A</v>
      </c>
      <c r="D500" s="84">
        <v>2463.84</v>
      </c>
      <c r="E500" s="84">
        <v>5701.9745454545455</v>
      </c>
      <c r="F500" s="84">
        <v>0</v>
      </c>
      <c r="G500" s="84">
        <v>0</v>
      </c>
      <c r="H500" s="84">
        <v>0</v>
      </c>
      <c r="I500" s="84"/>
      <c r="J500" s="84">
        <v>2655.8300118231264</v>
      </c>
      <c r="K500" s="84">
        <v>6146.2899881768744</v>
      </c>
      <c r="L500" s="84">
        <v>0</v>
      </c>
      <c r="M500" s="84">
        <v>0</v>
      </c>
      <c r="N500" s="84">
        <v>0</v>
      </c>
    </row>
    <row r="501" spans="1:14" x14ac:dyDescent="0.25">
      <c r="A501" s="74" t="s">
        <v>710</v>
      </c>
      <c r="B501" s="74">
        <v>3715</v>
      </c>
      <c r="C501" t="str">
        <f>VLOOKUP(B501,'Waste Lookups'!$B$1:$C$292,2,FALSE)</f>
        <v>Moor Lane Mills</v>
      </c>
      <c r="D501" s="84">
        <v>0</v>
      </c>
      <c r="E501" s="84">
        <v>0</v>
      </c>
      <c r="F501" s="84">
        <v>0</v>
      </c>
      <c r="G501" s="84">
        <v>0</v>
      </c>
      <c r="H501" s="84">
        <v>964.85454545454547</v>
      </c>
      <c r="I501" s="84"/>
      <c r="J501" s="84">
        <v>0</v>
      </c>
      <c r="K501" s="84">
        <v>0</v>
      </c>
      <c r="L501" s="84">
        <v>0</v>
      </c>
      <c r="M501" s="84">
        <v>0</v>
      </c>
      <c r="N501" s="84">
        <v>0</v>
      </c>
    </row>
    <row r="502" spans="1:14" x14ac:dyDescent="0.25">
      <c r="A502" s="74" t="s">
        <v>1777</v>
      </c>
      <c r="B502" s="74">
        <v>3716</v>
      </c>
      <c r="C502" t="e">
        <f>VLOOKUP(B502,'Waste Lookups'!$B$1:$C$292,2,FALSE)</f>
        <v>#N/A</v>
      </c>
      <c r="D502" s="84">
        <v>0</v>
      </c>
      <c r="E502" s="84">
        <v>0</v>
      </c>
      <c r="F502" s="84">
        <v>0</v>
      </c>
      <c r="G502" s="84">
        <v>0</v>
      </c>
      <c r="H502" s="84">
        <v>5488.494545454545</v>
      </c>
      <c r="I502" s="84"/>
      <c r="J502" s="84">
        <v>0</v>
      </c>
      <c r="K502" s="84">
        <v>0</v>
      </c>
      <c r="L502" s="84">
        <v>0</v>
      </c>
      <c r="M502" s="84">
        <v>0</v>
      </c>
      <c r="N502" s="84">
        <v>0</v>
      </c>
    </row>
    <row r="503" spans="1:14" x14ac:dyDescent="0.25">
      <c r="A503" s="74" t="s">
        <v>1779</v>
      </c>
      <c r="B503" s="74">
        <v>3736</v>
      </c>
      <c r="C503" t="e">
        <f>VLOOKUP(B503,'Waste Lookups'!$B$1:$C$292,2,FALSE)</f>
        <v>#N/A</v>
      </c>
      <c r="D503" s="84">
        <v>2123.4327272727269</v>
      </c>
      <c r="E503" s="84">
        <v>1313.8254545454545</v>
      </c>
      <c r="F503" s="84">
        <v>0</v>
      </c>
      <c r="G503" s="84">
        <v>0</v>
      </c>
      <c r="H503" s="84">
        <v>608.23636363636354</v>
      </c>
      <c r="I503" s="84"/>
      <c r="J503" s="84">
        <v>3484.124508395872</v>
      </c>
      <c r="K503" s="84">
        <v>2155.722386277529</v>
      </c>
      <c r="L503" s="84">
        <v>0</v>
      </c>
      <c r="M503" s="84">
        <v>0</v>
      </c>
      <c r="N503" s="84">
        <v>997.99310532659888</v>
      </c>
    </row>
    <row r="504" spans="1:14" x14ac:dyDescent="0.25">
      <c r="A504" s="74" t="s">
        <v>1781</v>
      </c>
      <c r="B504" s="74">
        <v>3737</v>
      </c>
      <c r="C504" t="e">
        <f>VLOOKUP(B504,'Waste Lookups'!$B$1:$C$292,2,FALSE)</f>
        <v>#N/A</v>
      </c>
      <c r="D504" s="84">
        <v>1421.5854545454547</v>
      </c>
      <c r="E504" s="84">
        <v>0</v>
      </c>
      <c r="F504" s="84">
        <v>0</v>
      </c>
      <c r="G504" s="84">
        <v>0</v>
      </c>
      <c r="H504" s="84">
        <v>0</v>
      </c>
      <c r="I504" s="84"/>
      <c r="J504" s="84">
        <v>998.67</v>
      </c>
      <c r="K504" s="84">
        <v>0</v>
      </c>
      <c r="L504" s="84">
        <v>0</v>
      </c>
      <c r="M504" s="84">
        <v>0</v>
      </c>
      <c r="N504" s="84">
        <v>0</v>
      </c>
    </row>
    <row r="505" spans="1:14" x14ac:dyDescent="0.25">
      <c r="A505" s="74" t="s">
        <v>1783</v>
      </c>
      <c r="B505" s="74">
        <v>3738</v>
      </c>
      <c r="C505" t="e">
        <f>VLOOKUP(B505,'Waste Lookups'!$B$1:$C$292,2,FALSE)</f>
        <v>#N/A</v>
      </c>
      <c r="D505" s="84">
        <v>1843.5927272727272</v>
      </c>
      <c r="E505" s="84">
        <v>1425.8181818181818</v>
      </c>
      <c r="F505" s="84">
        <v>0</v>
      </c>
      <c r="G505" s="84">
        <v>0</v>
      </c>
      <c r="H505" s="84">
        <v>1175.7054545454546</v>
      </c>
      <c r="I505" s="84"/>
      <c r="J505" s="84">
        <v>1948.1350269100226</v>
      </c>
      <c r="K505" s="84">
        <v>1506.6702644863781</v>
      </c>
      <c r="L505" s="84">
        <v>0</v>
      </c>
      <c r="M505" s="84">
        <v>0</v>
      </c>
      <c r="N505" s="84">
        <v>1242.3747086035994</v>
      </c>
    </row>
    <row r="506" spans="1:14" x14ac:dyDescent="0.25">
      <c r="A506" s="74" t="s">
        <v>1785</v>
      </c>
      <c r="B506" s="74">
        <v>3739</v>
      </c>
      <c r="C506" t="e">
        <f>VLOOKUP(B506,'Waste Lookups'!$B$1:$C$292,2,FALSE)</f>
        <v>#N/A</v>
      </c>
      <c r="D506" s="84">
        <v>1996.058181818182</v>
      </c>
      <c r="E506" s="84">
        <v>558.5454545454545</v>
      </c>
      <c r="F506" s="84">
        <v>0</v>
      </c>
      <c r="G506" s="84">
        <v>0</v>
      </c>
      <c r="H506" s="84">
        <v>735.37090909090909</v>
      </c>
      <c r="I506" s="84"/>
      <c r="J506" s="84">
        <v>1544.9306505383295</v>
      </c>
      <c r="K506" s="84">
        <v>432.30903803621567</v>
      </c>
      <c r="L506" s="84">
        <v>0</v>
      </c>
      <c r="M506" s="84">
        <v>0</v>
      </c>
      <c r="N506" s="84">
        <v>569.17031142545443</v>
      </c>
    </row>
    <row r="507" spans="1:14" x14ac:dyDescent="0.25">
      <c r="A507" s="74" t="s">
        <v>1787</v>
      </c>
      <c r="B507" s="74">
        <v>3740</v>
      </c>
      <c r="C507" t="e">
        <f>VLOOKUP(B507,'Waste Lookups'!$B$1:$C$292,2,FALSE)</f>
        <v>#N/A</v>
      </c>
      <c r="D507" s="84">
        <v>2994.8945454545456</v>
      </c>
      <c r="E507" s="84">
        <v>777.81818181818176</v>
      </c>
      <c r="F507" s="84">
        <v>0</v>
      </c>
      <c r="G507" s="84">
        <v>0</v>
      </c>
      <c r="H507" s="84">
        <v>1188.0981818181817</v>
      </c>
      <c r="I507" s="84"/>
      <c r="J507" s="84">
        <v>2221.3172379002553</v>
      </c>
      <c r="K507" s="84">
        <v>576.90877224617964</v>
      </c>
      <c r="L507" s="84">
        <v>0</v>
      </c>
      <c r="M507" s="84">
        <v>0</v>
      </c>
      <c r="N507" s="84">
        <v>881.21398985356495</v>
      </c>
    </row>
    <row r="508" spans="1:14" x14ac:dyDescent="0.25">
      <c r="A508" s="74" t="s">
        <v>1789</v>
      </c>
      <c r="B508" s="74">
        <v>3741</v>
      </c>
      <c r="C508" t="e">
        <f>VLOOKUP(B508,'Waste Lookups'!$B$1:$C$292,2,FALSE)</f>
        <v>#N/A</v>
      </c>
      <c r="D508" s="84">
        <v>2305.4836363636364</v>
      </c>
      <c r="E508" s="84">
        <v>776.72727272727275</v>
      </c>
      <c r="F508" s="84">
        <v>0</v>
      </c>
      <c r="G508" s="84">
        <v>0</v>
      </c>
      <c r="H508" s="84">
        <v>1067.7054545454546</v>
      </c>
      <c r="I508" s="84"/>
      <c r="J508" s="84">
        <v>2465.0283394977514</v>
      </c>
      <c r="K508" s="84">
        <v>830.47856386152807</v>
      </c>
      <c r="L508" s="84">
        <v>0</v>
      </c>
      <c r="M508" s="84">
        <v>0</v>
      </c>
      <c r="N508" s="84">
        <v>1141.5930966407209</v>
      </c>
    </row>
    <row r="509" spans="1:14" x14ac:dyDescent="0.25">
      <c r="A509" s="74" t="s">
        <v>1791</v>
      </c>
      <c r="B509" s="74">
        <v>3742</v>
      </c>
      <c r="C509" t="e">
        <f>VLOOKUP(B509,'Waste Lookups'!$B$1:$C$292,2,FALSE)</f>
        <v>#N/A</v>
      </c>
      <c r="D509" s="84">
        <v>2011.1127272727272</v>
      </c>
      <c r="E509" s="84">
        <v>558.5454545454545</v>
      </c>
      <c r="F509" s="84">
        <v>0</v>
      </c>
      <c r="G509" s="84">
        <v>0</v>
      </c>
      <c r="H509" s="84">
        <v>755.70545454545459</v>
      </c>
      <c r="I509" s="84"/>
      <c r="J509" s="84">
        <v>1719.419186746494</v>
      </c>
      <c r="K509" s="84">
        <v>477.53353563520056</v>
      </c>
      <c r="L509" s="84">
        <v>0</v>
      </c>
      <c r="M509" s="84">
        <v>0</v>
      </c>
      <c r="N509" s="84">
        <v>646.09727761830572</v>
      </c>
    </row>
    <row r="510" spans="1:14" x14ac:dyDescent="0.25">
      <c r="A510" s="74" t="s">
        <v>1793</v>
      </c>
      <c r="B510" s="74">
        <v>3743</v>
      </c>
      <c r="C510" t="e">
        <f>VLOOKUP(B510,'Waste Lookups'!$B$1:$C$292,2,FALSE)</f>
        <v>#N/A</v>
      </c>
      <c r="D510" s="84">
        <v>1535.890909090909</v>
      </c>
      <c r="E510" s="84">
        <v>777.81818181818176</v>
      </c>
      <c r="F510" s="84">
        <v>0</v>
      </c>
      <c r="G510" s="84">
        <v>0</v>
      </c>
      <c r="H510" s="84">
        <v>827.60727272727274</v>
      </c>
      <c r="I510" s="84"/>
      <c r="J510" s="84">
        <v>1665.6797554470504</v>
      </c>
      <c r="K510" s="84">
        <v>843.54688943372901</v>
      </c>
      <c r="L510" s="84">
        <v>0</v>
      </c>
      <c r="M510" s="84">
        <v>0</v>
      </c>
      <c r="N510" s="84">
        <v>897.54335511922056</v>
      </c>
    </row>
    <row r="511" spans="1:14" x14ac:dyDescent="0.25">
      <c r="A511" s="74" t="s">
        <v>1794</v>
      </c>
      <c r="B511" s="74">
        <v>3744</v>
      </c>
      <c r="C511" t="e">
        <f>VLOOKUP(B511,'Waste Lookups'!$B$1:$C$292,2,FALSE)</f>
        <v>#N/A</v>
      </c>
      <c r="D511" s="84">
        <v>2418.8945454545456</v>
      </c>
      <c r="E511" s="84">
        <v>777.81818181818176</v>
      </c>
      <c r="F511" s="84">
        <v>0</v>
      </c>
      <c r="G511" s="84">
        <v>0</v>
      </c>
      <c r="H511" s="84">
        <v>915.37090909090909</v>
      </c>
      <c r="I511" s="84"/>
      <c r="J511" s="84">
        <v>1857.0108676954749</v>
      </c>
      <c r="K511" s="84">
        <v>597.13922603272124</v>
      </c>
      <c r="L511" s="84">
        <v>0</v>
      </c>
      <c r="M511" s="84">
        <v>0</v>
      </c>
      <c r="N511" s="84">
        <v>702.73990627180376</v>
      </c>
    </row>
    <row r="512" spans="1:14" x14ac:dyDescent="0.25">
      <c r="A512" s="74" t="s">
        <v>1796</v>
      </c>
      <c r="B512" s="74">
        <v>3745</v>
      </c>
      <c r="C512" t="e">
        <f>VLOOKUP(B512,'Waste Lookups'!$B$1:$C$292,2,FALSE)</f>
        <v>#N/A</v>
      </c>
      <c r="D512" s="84">
        <v>678.9818181818182</v>
      </c>
      <c r="E512" s="84">
        <v>435.27272727272725</v>
      </c>
      <c r="F512" s="84">
        <v>0</v>
      </c>
      <c r="G512" s="84">
        <v>0</v>
      </c>
      <c r="H512" s="84">
        <v>611.40000000000009</v>
      </c>
      <c r="I512" s="84"/>
      <c r="J512" s="84">
        <v>655.55322186047977</v>
      </c>
      <c r="K512" s="84">
        <v>420.25343110914434</v>
      </c>
      <c r="L512" s="84">
        <v>0</v>
      </c>
      <c r="M512" s="84">
        <v>0</v>
      </c>
      <c r="N512" s="84">
        <v>590.3033470303759</v>
      </c>
    </row>
    <row r="513" spans="1:14" x14ac:dyDescent="0.25">
      <c r="A513" s="74" t="s">
        <v>1798</v>
      </c>
      <c r="B513" s="74">
        <v>3746</v>
      </c>
      <c r="C513" t="e">
        <f>VLOOKUP(B513,'Waste Lookups'!$B$1:$C$292,2,FALSE)</f>
        <v>#N/A</v>
      </c>
      <c r="D513" s="84">
        <v>9067.7236363636366</v>
      </c>
      <c r="E513" s="84">
        <v>0</v>
      </c>
      <c r="F513" s="84">
        <v>0</v>
      </c>
      <c r="G513" s="84">
        <v>0</v>
      </c>
      <c r="H513" s="84">
        <v>1147.8218181818183</v>
      </c>
      <c r="I513" s="84"/>
      <c r="J513" s="84">
        <v>8360.1456894038492</v>
      </c>
      <c r="K513" s="84">
        <v>0</v>
      </c>
      <c r="L513" s="84">
        <v>0</v>
      </c>
      <c r="M513" s="84">
        <v>0</v>
      </c>
      <c r="N513" s="84">
        <v>1058.2543105961502</v>
      </c>
    </row>
    <row r="514" spans="1:14" x14ac:dyDescent="0.25">
      <c r="A514" s="74" t="s">
        <v>1800</v>
      </c>
      <c r="B514" s="74">
        <v>3747</v>
      </c>
      <c r="C514" t="e">
        <f>VLOOKUP(B514,'Waste Lookups'!$B$1:$C$292,2,FALSE)</f>
        <v>#N/A</v>
      </c>
      <c r="D514" s="84">
        <v>840.32727272727266</v>
      </c>
      <c r="E514" s="84">
        <v>558.5454545454545</v>
      </c>
      <c r="F514" s="84">
        <v>0</v>
      </c>
      <c r="G514" s="84">
        <v>0</v>
      </c>
      <c r="H514" s="84">
        <v>807.81818181818176</v>
      </c>
      <c r="I514" s="84"/>
      <c r="J514" s="84">
        <v>769.19565453826385</v>
      </c>
      <c r="K514" s="84">
        <v>511.26596796519675</v>
      </c>
      <c r="L514" s="84">
        <v>0</v>
      </c>
      <c r="M514" s="84">
        <v>0</v>
      </c>
      <c r="N514" s="84">
        <v>739.43837749653949</v>
      </c>
    </row>
    <row r="515" spans="1:14" x14ac:dyDescent="0.25">
      <c r="A515" s="74" t="s">
        <v>1802</v>
      </c>
      <c r="B515" s="74">
        <v>3748</v>
      </c>
      <c r="C515" t="e">
        <f>VLOOKUP(B515,'Waste Lookups'!$B$1:$C$292,2,FALSE)</f>
        <v>#N/A</v>
      </c>
      <c r="D515" s="84">
        <v>0</v>
      </c>
      <c r="E515" s="84">
        <v>795.91636363636371</v>
      </c>
      <c r="F515" s="84">
        <v>0</v>
      </c>
      <c r="G515" s="84">
        <v>0</v>
      </c>
      <c r="H515" s="84">
        <v>863.21454545454549</v>
      </c>
      <c r="I515" s="84"/>
      <c r="J515" s="84">
        <v>0</v>
      </c>
      <c r="K515" s="84">
        <v>831.15127670346578</v>
      </c>
      <c r="L515" s="84">
        <v>0</v>
      </c>
      <c r="M515" s="84">
        <v>0</v>
      </c>
      <c r="N515" s="84">
        <v>901.42872329653414</v>
      </c>
    </row>
    <row r="516" spans="1:14" x14ac:dyDescent="0.25">
      <c r="A516" s="74" t="s">
        <v>1804</v>
      </c>
      <c r="B516" s="74">
        <v>3750</v>
      </c>
      <c r="C516" t="e">
        <f>VLOOKUP(B516,'Waste Lookups'!$B$1:$C$292,2,FALSE)</f>
        <v>#N/A</v>
      </c>
      <c r="D516" s="84">
        <v>2540.4327272727269</v>
      </c>
      <c r="E516" s="84">
        <v>1750.4509090909091</v>
      </c>
      <c r="F516" s="84">
        <v>0</v>
      </c>
      <c r="G516" s="84">
        <v>0</v>
      </c>
      <c r="H516" s="84">
        <v>653.0181818181818</v>
      </c>
      <c r="I516" s="84"/>
      <c r="J516" s="84">
        <v>2915.6514979997391</v>
      </c>
      <c r="K516" s="84">
        <v>2008.9903426590552</v>
      </c>
      <c r="L516" s="84">
        <v>0</v>
      </c>
      <c r="M516" s="84">
        <v>0</v>
      </c>
      <c r="N516" s="84">
        <v>749.4681593412048</v>
      </c>
    </row>
    <row r="517" spans="1:14" x14ac:dyDescent="0.25">
      <c r="A517" s="74" t="s">
        <v>1806</v>
      </c>
      <c r="B517" s="74">
        <v>3756</v>
      </c>
      <c r="C517" t="e">
        <f>VLOOKUP(B517,'Waste Lookups'!$B$1:$C$292,2,FALSE)</f>
        <v>#N/A</v>
      </c>
      <c r="D517" s="84">
        <v>1987.6581818181817</v>
      </c>
      <c r="E517" s="84">
        <v>918.19636363636369</v>
      </c>
      <c r="F517" s="84">
        <v>0</v>
      </c>
      <c r="G517" s="84">
        <v>524.68363636363631</v>
      </c>
      <c r="H517" s="84">
        <v>0</v>
      </c>
      <c r="I517" s="84"/>
      <c r="J517" s="84">
        <v>0</v>
      </c>
      <c r="K517" s="84">
        <v>0</v>
      </c>
      <c r="L517" s="84">
        <v>0</v>
      </c>
      <c r="M517" s="84">
        <v>0</v>
      </c>
      <c r="N517" s="84">
        <v>0</v>
      </c>
    </row>
    <row r="518" spans="1:14" x14ac:dyDescent="0.25">
      <c r="A518" s="74" t="s">
        <v>1808</v>
      </c>
      <c r="B518" s="74">
        <v>3757</v>
      </c>
      <c r="C518" t="e">
        <f>VLOOKUP(B518,'Waste Lookups'!$B$1:$C$292,2,FALSE)</f>
        <v>#N/A</v>
      </c>
      <c r="D518" s="84">
        <v>2058.6763636363635</v>
      </c>
      <c r="E518" s="84">
        <v>1683.5236363636363</v>
      </c>
      <c r="F518" s="84">
        <v>0</v>
      </c>
      <c r="G518" s="84">
        <v>470.02909090909094</v>
      </c>
      <c r="H518" s="84">
        <v>0</v>
      </c>
      <c r="I518" s="84"/>
      <c r="J518" s="84">
        <v>14.662139588367378</v>
      </c>
      <c r="K518" s="84">
        <v>11.990256940181965</v>
      </c>
      <c r="L518" s="84">
        <v>0</v>
      </c>
      <c r="M518" s="84">
        <v>3.3476034714506593</v>
      </c>
      <c r="N518" s="84">
        <v>0</v>
      </c>
    </row>
    <row r="519" spans="1:14" x14ac:dyDescent="0.25">
      <c r="A519" s="74" t="s">
        <v>1810</v>
      </c>
      <c r="B519" s="74">
        <v>3765</v>
      </c>
      <c r="C519" t="e">
        <f>VLOOKUP(B519,'Waste Lookups'!$B$1:$C$292,2,FALSE)</f>
        <v>#N/A</v>
      </c>
      <c r="D519" s="84">
        <v>2496.8727272727274</v>
      </c>
      <c r="E519" s="84">
        <v>852.3054545454545</v>
      </c>
      <c r="F519" s="84">
        <v>0</v>
      </c>
      <c r="G519" s="84">
        <v>0</v>
      </c>
      <c r="H519" s="84">
        <v>0</v>
      </c>
      <c r="I519" s="84"/>
      <c r="J519" s="84">
        <v>1922.4151631227855</v>
      </c>
      <c r="K519" s="84">
        <v>656.21483687721491</v>
      </c>
      <c r="L519" s="84">
        <v>0</v>
      </c>
      <c r="M519" s="84">
        <v>0</v>
      </c>
      <c r="N519" s="84">
        <v>0</v>
      </c>
    </row>
    <row r="520" spans="1:14" x14ac:dyDescent="0.25">
      <c r="A520" s="74" t="s">
        <v>1812</v>
      </c>
      <c r="B520" s="74">
        <v>3766</v>
      </c>
      <c r="C520" t="e">
        <f>VLOOKUP(B520,'Waste Lookups'!$B$1:$C$292,2,FALSE)</f>
        <v>#N/A</v>
      </c>
      <c r="D520" s="84">
        <v>2684.869090909091</v>
      </c>
      <c r="E520" s="84">
        <v>852.3054545454545</v>
      </c>
      <c r="F520" s="84">
        <v>0</v>
      </c>
      <c r="G520" s="84">
        <v>0</v>
      </c>
      <c r="H520" s="84">
        <v>0</v>
      </c>
      <c r="I520" s="84"/>
      <c r="J520" s="84">
        <v>1631.4272197532086</v>
      </c>
      <c r="K520" s="84">
        <v>517.89278024679174</v>
      </c>
      <c r="L520" s="84">
        <v>0</v>
      </c>
      <c r="M520" s="84">
        <v>0</v>
      </c>
      <c r="N520" s="84">
        <v>0</v>
      </c>
    </row>
    <row r="521" spans="1:14" x14ac:dyDescent="0.25">
      <c r="A521" s="74" t="s">
        <v>1814</v>
      </c>
      <c r="B521" s="74">
        <v>3767</v>
      </c>
      <c r="C521" t="e">
        <f>VLOOKUP(B521,'Waste Lookups'!$B$1:$C$292,2,FALSE)</f>
        <v>#N/A</v>
      </c>
      <c r="D521" s="84">
        <v>3536.0181818181818</v>
      </c>
      <c r="E521" s="84">
        <v>1306.2327272727273</v>
      </c>
      <c r="F521" s="84">
        <v>0</v>
      </c>
      <c r="G521" s="84">
        <v>0</v>
      </c>
      <c r="H521" s="84">
        <v>0</v>
      </c>
      <c r="I521" s="84"/>
      <c r="J521" s="84">
        <v>7042.671978583965</v>
      </c>
      <c r="K521" s="84">
        <v>2601.6180214160363</v>
      </c>
      <c r="L521" s="84">
        <v>0</v>
      </c>
      <c r="M521" s="84">
        <v>0</v>
      </c>
      <c r="N521" s="84">
        <v>0</v>
      </c>
    </row>
    <row r="522" spans="1:14" x14ac:dyDescent="0.25">
      <c r="A522" s="74" t="s">
        <v>1816</v>
      </c>
      <c r="B522" s="74">
        <v>3769</v>
      </c>
      <c r="C522" t="e">
        <f>VLOOKUP(B522,'Waste Lookups'!$B$1:$C$292,2,FALSE)</f>
        <v>#N/A</v>
      </c>
      <c r="D522" s="84">
        <v>3044.181818181818</v>
      </c>
      <c r="E522" s="84">
        <v>1326.2836363636363</v>
      </c>
      <c r="F522" s="84">
        <v>0</v>
      </c>
      <c r="G522" s="84">
        <v>0</v>
      </c>
      <c r="H522" s="84">
        <v>0</v>
      </c>
      <c r="I522" s="84"/>
      <c r="J522" s="84">
        <v>2472.4760849270892</v>
      </c>
      <c r="K522" s="84">
        <v>1077.2039150729111</v>
      </c>
      <c r="L522" s="84">
        <v>0</v>
      </c>
      <c r="M522" s="84">
        <v>0</v>
      </c>
      <c r="N522" s="84">
        <v>0</v>
      </c>
    </row>
    <row r="523" spans="1:14" x14ac:dyDescent="0.25">
      <c r="A523" s="74" t="s">
        <v>1818</v>
      </c>
      <c r="B523" s="74">
        <v>3771</v>
      </c>
      <c r="C523" t="e">
        <f>VLOOKUP(B523,'Waste Lookups'!$B$1:$C$292,2,FALSE)</f>
        <v>#N/A</v>
      </c>
      <c r="D523" s="84">
        <v>3025.2763636363638</v>
      </c>
      <c r="E523" s="84">
        <v>7078.9963636363627</v>
      </c>
      <c r="F523" s="84">
        <v>0</v>
      </c>
      <c r="G523" s="84">
        <v>0</v>
      </c>
      <c r="H523" s="84">
        <v>0</v>
      </c>
      <c r="I523" s="84"/>
      <c r="J523" s="84">
        <v>3355.9930421333916</v>
      </c>
      <c r="K523" s="84">
        <v>7852.8569578666093</v>
      </c>
      <c r="L523" s="84">
        <v>0</v>
      </c>
      <c r="M523" s="84">
        <v>0</v>
      </c>
      <c r="N523" s="84">
        <v>0</v>
      </c>
    </row>
    <row r="524" spans="1:14" x14ac:dyDescent="0.25">
      <c r="A524" s="74" t="s">
        <v>1820</v>
      </c>
      <c r="B524" s="74">
        <v>3774</v>
      </c>
      <c r="C524" t="e">
        <f>VLOOKUP(B524,'Waste Lookups'!$B$1:$C$292,2,FALSE)</f>
        <v>#N/A</v>
      </c>
      <c r="D524" s="84">
        <v>3010.0581818181818</v>
      </c>
      <c r="E524" s="84">
        <v>1859.52</v>
      </c>
      <c r="F524" s="84">
        <v>0</v>
      </c>
      <c r="G524" s="84">
        <v>0</v>
      </c>
      <c r="H524" s="84">
        <v>0</v>
      </c>
      <c r="I524" s="84"/>
      <c r="J524" s="84">
        <v>2811.8542209965544</v>
      </c>
      <c r="K524" s="84">
        <v>1737.0757790034454</v>
      </c>
      <c r="L524" s="84">
        <v>0</v>
      </c>
      <c r="M524" s="84">
        <v>0</v>
      </c>
      <c r="N524" s="84">
        <v>0</v>
      </c>
    </row>
    <row r="525" spans="1:14" x14ac:dyDescent="0.25">
      <c r="A525" s="74" t="s">
        <v>1822</v>
      </c>
      <c r="B525" s="74">
        <v>3775</v>
      </c>
      <c r="C525" t="e">
        <f>VLOOKUP(B525,'Waste Lookups'!$B$1:$C$292,2,FALSE)</f>
        <v>#N/A</v>
      </c>
      <c r="D525" s="84">
        <v>787.77818181818179</v>
      </c>
      <c r="E525" s="84">
        <v>0</v>
      </c>
      <c r="F525" s="84">
        <v>0</v>
      </c>
      <c r="G525" s="84">
        <v>0</v>
      </c>
      <c r="H525" s="84">
        <v>0</v>
      </c>
      <c r="I525" s="84"/>
      <c r="J525" s="84">
        <v>654.80999999999995</v>
      </c>
      <c r="K525" s="84">
        <v>0</v>
      </c>
      <c r="L525" s="84">
        <v>0</v>
      </c>
      <c r="M525" s="84">
        <v>0</v>
      </c>
      <c r="N525" s="84">
        <v>0</v>
      </c>
    </row>
    <row r="526" spans="1:14" x14ac:dyDescent="0.25">
      <c r="A526" s="74" t="s">
        <v>1824</v>
      </c>
      <c r="B526" s="74">
        <v>3777</v>
      </c>
      <c r="C526" t="e">
        <f>VLOOKUP(B526,'Waste Lookups'!$B$1:$C$292,2,FALSE)</f>
        <v>#N/A</v>
      </c>
      <c r="D526" s="84">
        <v>0</v>
      </c>
      <c r="E526" s="84">
        <v>202.90909090909093</v>
      </c>
      <c r="F526" s="84">
        <v>0</v>
      </c>
      <c r="G526" s="84">
        <v>0</v>
      </c>
      <c r="H526" s="84">
        <v>0</v>
      </c>
      <c r="I526" s="84"/>
      <c r="J526" s="84">
        <v>0</v>
      </c>
      <c r="K526" s="84">
        <v>0</v>
      </c>
      <c r="L526" s="84">
        <v>0</v>
      </c>
      <c r="M526" s="84">
        <v>0</v>
      </c>
      <c r="N526" s="84">
        <v>0</v>
      </c>
    </row>
    <row r="527" spans="1:14" x14ac:dyDescent="0.25">
      <c r="A527" s="74" t="s">
        <v>1826</v>
      </c>
      <c r="B527" s="74">
        <v>3779</v>
      </c>
      <c r="C527" t="e">
        <f>VLOOKUP(B527,'Waste Lookups'!$B$1:$C$292,2,FALSE)</f>
        <v>#N/A</v>
      </c>
      <c r="D527" s="84">
        <v>2537.8036363636365</v>
      </c>
      <c r="E527" s="84">
        <v>1233.5345454545454</v>
      </c>
      <c r="F527" s="84">
        <v>0</v>
      </c>
      <c r="G527" s="84">
        <v>0</v>
      </c>
      <c r="H527" s="84">
        <v>656.78181818181815</v>
      </c>
      <c r="I527" s="84"/>
      <c r="J527" s="84">
        <v>2132.2474713915121</v>
      </c>
      <c r="K527" s="84">
        <v>1036.4083641980631</v>
      </c>
      <c r="L527" s="84">
        <v>0</v>
      </c>
      <c r="M527" s="84">
        <v>0</v>
      </c>
      <c r="N527" s="84">
        <v>551.82416441042494</v>
      </c>
    </row>
    <row r="528" spans="1:14" x14ac:dyDescent="0.25">
      <c r="A528" s="74" t="s">
        <v>1828</v>
      </c>
      <c r="B528" s="74">
        <v>3781</v>
      </c>
      <c r="C528" t="e">
        <f>VLOOKUP(B528,'Waste Lookups'!$B$1:$C$292,2,FALSE)</f>
        <v>#N/A</v>
      </c>
      <c r="D528" s="84">
        <v>1080.3054545454545</v>
      </c>
      <c r="E528" s="84">
        <v>510.97090909090906</v>
      </c>
      <c r="F528" s="84">
        <v>0</v>
      </c>
      <c r="G528" s="84">
        <v>219.31636363636363</v>
      </c>
      <c r="H528" s="84">
        <v>0</v>
      </c>
      <c r="I528" s="84"/>
      <c r="J528" s="84">
        <v>669.58204843014744</v>
      </c>
      <c r="K528" s="84">
        <v>316.70389754836691</v>
      </c>
      <c r="L528" s="84">
        <v>0</v>
      </c>
      <c r="M528" s="84">
        <v>135.93405402148568</v>
      </c>
      <c r="N528" s="84">
        <v>0</v>
      </c>
    </row>
    <row r="529" spans="1:14" x14ac:dyDescent="0.25">
      <c r="A529" s="74" t="s">
        <v>1830</v>
      </c>
      <c r="B529" s="74">
        <v>3797</v>
      </c>
      <c r="C529" t="e">
        <f>VLOOKUP(B529,'Waste Lookups'!$B$1:$C$292,2,FALSE)</f>
        <v>#N/A</v>
      </c>
      <c r="D529" s="84">
        <v>0</v>
      </c>
      <c r="E529" s="84">
        <v>0</v>
      </c>
      <c r="F529" s="84">
        <v>0</v>
      </c>
      <c r="G529" s="84">
        <v>0</v>
      </c>
      <c r="H529" s="84">
        <v>4372.7890909090911</v>
      </c>
      <c r="I529" s="84"/>
      <c r="J529" s="84">
        <v>0</v>
      </c>
      <c r="K529" s="84">
        <v>0</v>
      </c>
      <c r="L529" s="84">
        <v>0</v>
      </c>
      <c r="M529" s="84">
        <v>0</v>
      </c>
      <c r="N529" s="84">
        <v>4830.3999999999996</v>
      </c>
    </row>
    <row r="530" spans="1:14" x14ac:dyDescent="0.25">
      <c r="A530" s="74" t="s">
        <v>1832</v>
      </c>
      <c r="B530" s="74">
        <v>3798</v>
      </c>
      <c r="C530" t="e">
        <f>VLOOKUP(B530,'Waste Lookups'!$B$1:$C$292,2,FALSE)</f>
        <v>#N/A</v>
      </c>
      <c r="D530" s="84">
        <v>300.90545454545452</v>
      </c>
      <c r="E530" s="84">
        <v>0</v>
      </c>
      <c r="F530" s="84">
        <v>0</v>
      </c>
      <c r="G530" s="84">
        <v>0</v>
      </c>
      <c r="H530" s="84">
        <v>0</v>
      </c>
      <c r="I530" s="84"/>
      <c r="J530" s="84">
        <v>283.24</v>
      </c>
      <c r="K530" s="84">
        <v>0</v>
      </c>
      <c r="L530" s="84">
        <v>0</v>
      </c>
      <c r="M530" s="84">
        <v>0</v>
      </c>
      <c r="N530" s="84">
        <v>0</v>
      </c>
    </row>
    <row r="531" spans="1:14" x14ac:dyDescent="0.25">
      <c r="A531" s="74" t="s">
        <v>1834</v>
      </c>
      <c r="B531" s="74">
        <v>3799</v>
      </c>
      <c r="C531" t="e">
        <f>VLOOKUP(B531,'Waste Lookups'!$B$1:$C$292,2,FALSE)</f>
        <v>#N/A</v>
      </c>
      <c r="D531" s="84">
        <v>362.16</v>
      </c>
      <c r="E531" s="84">
        <v>0</v>
      </c>
      <c r="F531" s="84">
        <v>0</v>
      </c>
      <c r="G531" s="84">
        <v>0</v>
      </c>
      <c r="H531" s="84">
        <v>50.49818181818182</v>
      </c>
      <c r="I531" s="84"/>
      <c r="J531" s="84">
        <v>220.95139662146087</v>
      </c>
      <c r="K531" s="84">
        <v>0</v>
      </c>
      <c r="L531" s="84">
        <v>0</v>
      </c>
      <c r="M531" s="84">
        <v>0</v>
      </c>
      <c r="N531" s="84">
        <v>30.808603378539136</v>
      </c>
    </row>
    <row r="532" spans="1:14" x14ac:dyDescent="0.25">
      <c r="A532" s="74" t="s">
        <v>1836</v>
      </c>
      <c r="B532" s="74">
        <v>3800</v>
      </c>
      <c r="C532" t="e">
        <f>VLOOKUP(B532,'Waste Lookups'!$B$1:$C$292,2,FALSE)</f>
        <v>#N/A</v>
      </c>
      <c r="D532" s="84">
        <v>2349.2945454545456</v>
      </c>
      <c r="E532" s="84">
        <v>1378.4290909090907</v>
      </c>
      <c r="F532" s="84">
        <v>0</v>
      </c>
      <c r="G532" s="84">
        <v>0</v>
      </c>
      <c r="H532" s="84">
        <v>158.77090909090907</v>
      </c>
      <c r="I532" s="84"/>
      <c r="J532" s="84">
        <v>2284.0022931438098</v>
      </c>
      <c r="K532" s="84">
        <v>1340.1194033604479</v>
      </c>
      <c r="L532" s="84">
        <v>0</v>
      </c>
      <c r="M532" s="84">
        <v>0</v>
      </c>
      <c r="N532" s="84">
        <v>154.35830349574186</v>
      </c>
    </row>
    <row r="533" spans="1:14" x14ac:dyDescent="0.25">
      <c r="A533" s="74" t="s">
        <v>1838</v>
      </c>
      <c r="B533" s="74">
        <v>3803</v>
      </c>
      <c r="C533" t="e">
        <f>VLOOKUP(B533,'Waste Lookups'!$B$1:$C$292,2,FALSE)</f>
        <v>#N/A</v>
      </c>
      <c r="D533" s="84">
        <v>628.25454545454545</v>
      </c>
      <c r="E533" s="84">
        <v>0</v>
      </c>
      <c r="F533" s="84">
        <v>0</v>
      </c>
      <c r="G533" s="84">
        <v>0</v>
      </c>
      <c r="H533" s="84">
        <v>0</v>
      </c>
      <c r="I533" s="84"/>
      <c r="J533" s="84">
        <v>658.7</v>
      </c>
      <c r="K533" s="84">
        <v>0</v>
      </c>
      <c r="L533" s="84">
        <v>0</v>
      </c>
      <c r="M533" s="84">
        <v>0</v>
      </c>
      <c r="N533" s="84">
        <v>0</v>
      </c>
    </row>
    <row r="534" spans="1:14" x14ac:dyDescent="0.25">
      <c r="A534" s="74" t="s">
        <v>1840</v>
      </c>
      <c r="B534" s="74">
        <v>3804</v>
      </c>
      <c r="C534" t="e">
        <f>VLOOKUP(B534,'Waste Lookups'!$B$1:$C$292,2,FALSE)</f>
        <v>#N/A</v>
      </c>
      <c r="D534" s="84">
        <v>0</v>
      </c>
      <c r="E534" s="84">
        <v>891.88363636363624</v>
      </c>
      <c r="F534" s="84">
        <v>0</v>
      </c>
      <c r="G534" s="84">
        <v>0</v>
      </c>
      <c r="H534" s="84">
        <v>813.65454545454554</v>
      </c>
      <c r="I534" s="84"/>
      <c r="J534" s="84">
        <v>0</v>
      </c>
      <c r="K534" s="84">
        <v>518.23789741654457</v>
      </c>
      <c r="L534" s="84">
        <v>0</v>
      </c>
      <c r="M534" s="84">
        <v>0</v>
      </c>
      <c r="N534" s="84">
        <v>472.78210258345541</v>
      </c>
    </row>
    <row r="535" spans="1:14" x14ac:dyDescent="0.25">
      <c r="A535" s="74" t="s">
        <v>1842</v>
      </c>
      <c r="B535" s="74">
        <v>3808</v>
      </c>
      <c r="C535" t="e">
        <f>VLOOKUP(B535,'Waste Lookups'!$B$1:$C$292,2,FALSE)</f>
        <v>#N/A</v>
      </c>
      <c r="D535" s="84">
        <v>761.96727272727276</v>
      </c>
      <c r="E535" s="84">
        <v>0</v>
      </c>
      <c r="F535" s="84">
        <v>0</v>
      </c>
      <c r="G535" s="84">
        <v>0</v>
      </c>
      <c r="H535" s="84">
        <v>0</v>
      </c>
      <c r="I535" s="84"/>
      <c r="J535" s="84">
        <v>795.66</v>
      </c>
      <c r="K535" s="84">
        <v>0</v>
      </c>
      <c r="L535" s="84">
        <v>0</v>
      </c>
      <c r="M535" s="84">
        <v>0</v>
      </c>
      <c r="N535" s="84">
        <v>0</v>
      </c>
    </row>
    <row r="536" spans="1:14" x14ac:dyDescent="0.25">
      <c r="A536" s="74" t="s">
        <v>1844</v>
      </c>
      <c r="B536" s="74">
        <v>3810</v>
      </c>
      <c r="C536" t="e">
        <f>VLOOKUP(B536,'Waste Lookups'!$B$1:$C$292,2,FALSE)</f>
        <v>#N/A</v>
      </c>
      <c r="D536" s="84">
        <v>1817.9236363636364</v>
      </c>
      <c r="E536" s="84">
        <v>0</v>
      </c>
      <c r="F536" s="84">
        <v>0</v>
      </c>
      <c r="G536" s="84">
        <v>0</v>
      </c>
      <c r="H536" s="84">
        <v>1404.2181818181818</v>
      </c>
      <c r="I536" s="84"/>
      <c r="J536" s="84">
        <v>2126.7811252932834</v>
      </c>
      <c r="K536" s="84">
        <v>0</v>
      </c>
      <c r="L536" s="84">
        <v>0</v>
      </c>
      <c r="M536" s="84">
        <v>0</v>
      </c>
      <c r="N536" s="84">
        <v>1642.788874706717</v>
      </c>
    </row>
    <row r="537" spans="1:14" x14ac:dyDescent="0.25">
      <c r="A537" s="74" t="s">
        <v>1846</v>
      </c>
      <c r="B537" s="74">
        <v>3811</v>
      </c>
      <c r="C537" t="e">
        <f>VLOOKUP(B537,'Waste Lookups'!$B$1:$C$292,2,FALSE)</f>
        <v>#N/A</v>
      </c>
      <c r="D537" s="84">
        <v>4774.1563636363644</v>
      </c>
      <c r="E537" s="84">
        <v>2706.1527272727271</v>
      </c>
      <c r="F537" s="84">
        <v>0</v>
      </c>
      <c r="G537" s="84">
        <v>0</v>
      </c>
      <c r="H537" s="84">
        <v>2658.0109090909095</v>
      </c>
      <c r="I537" s="84"/>
      <c r="J537" s="84">
        <v>5148.9520685837133</v>
      </c>
      <c r="K537" s="84">
        <v>2918.5995643387923</v>
      </c>
      <c r="L537" s="84">
        <v>0</v>
      </c>
      <c r="M537" s="84">
        <v>0</v>
      </c>
      <c r="N537" s="84">
        <v>2866.678367077493</v>
      </c>
    </row>
    <row r="538" spans="1:14" x14ac:dyDescent="0.25">
      <c r="A538" s="74" t="s">
        <v>1848</v>
      </c>
      <c r="B538" s="74">
        <v>3812</v>
      </c>
      <c r="C538" t="e">
        <f>VLOOKUP(B538,'Waste Lookups'!$B$1:$C$292,2,FALSE)</f>
        <v>#N/A</v>
      </c>
      <c r="D538" s="84">
        <v>4933.6036363636367</v>
      </c>
      <c r="E538" s="84">
        <v>663.92727272727279</v>
      </c>
      <c r="F538" s="84">
        <v>0</v>
      </c>
      <c r="G538" s="84">
        <v>0</v>
      </c>
      <c r="H538" s="84">
        <v>2770.4181818181819</v>
      </c>
      <c r="I538" s="84"/>
      <c r="J538" s="84">
        <v>6829.7750446378523</v>
      </c>
      <c r="K538" s="84">
        <v>919.09976012369282</v>
      </c>
      <c r="L538" s="84">
        <v>0</v>
      </c>
      <c r="M538" s="84">
        <v>0</v>
      </c>
      <c r="N538" s="84">
        <v>3835.1951952384552</v>
      </c>
    </row>
    <row r="539" spans="1:14" x14ac:dyDescent="0.25">
      <c r="A539" s="74" t="s">
        <v>1850</v>
      </c>
      <c r="B539" s="74">
        <v>3813</v>
      </c>
      <c r="C539" t="e">
        <f>VLOOKUP(B539,'Waste Lookups'!$B$1:$C$292,2,FALSE)</f>
        <v>#N/A</v>
      </c>
      <c r="D539" s="84">
        <v>612.08727272727276</v>
      </c>
      <c r="E539" s="84">
        <v>0</v>
      </c>
      <c r="F539" s="84">
        <v>0</v>
      </c>
      <c r="G539" s="84">
        <v>0</v>
      </c>
      <c r="H539" s="84">
        <v>0</v>
      </c>
      <c r="I539" s="84"/>
      <c r="J539" s="84">
        <v>658.7</v>
      </c>
      <c r="K539" s="84">
        <v>0</v>
      </c>
      <c r="L539" s="84">
        <v>0</v>
      </c>
      <c r="M539" s="84">
        <v>0</v>
      </c>
      <c r="N539" s="84">
        <v>0</v>
      </c>
    </row>
    <row r="540" spans="1:14" x14ac:dyDescent="0.25">
      <c r="A540" s="74" t="s">
        <v>1852</v>
      </c>
      <c r="B540" s="74">
        <v>3815</v>
      </c>
      <c r="C540" t="e">
        <f>VLOOKUP(B540,'Waste Lookups'!$B$1:$C$292,2,FALSE)</f>
        <v>#N/A</v>
      </c>
      <c r="D540" s="84">
        <v>9479.9018181818174</v>
      </c>
      <c r="E540" s="84">
        <v>0</v>
      </c>
      <c r="F540" s="84">
        <v>0</v>
      </c>
      <c r="G540" s="84">
        <v>0</v>
      </c>
      <c r="H540" s="84">
        <v>4633.909090909091</v>
      </c>
      <c r="I540" s="84"/>
      <c r="J540" s="84">
        <v>9739.0672216304956</v>
      </c>
      <c r="K540" s="84">
        <v>0</v>
      </c>
      <c r="L540" s="84">
        <v>0</v>
      </c>
      <c r="M540" s="84">
        <v>0</v>
      </c>
      <c r="N540" s="84">
        <v>4760.5927783695042</v>
      </c>
    </row>
    <row r="541" spans="1:14" x14ac:dyDescent="0.25">
      <c r="A541" s="74" t="s">
        <v>1854</v>
      </c>
      <c r="B541" s="74">
        <v>3855</v>
      </c>
      <c r="C541" t="e">
        <f>VLOOKUP(B541,'Waste Lookups'!$B$1:$C$292,2,FALSE)</f>
        <v>#N/A</v>
      </c>
      <c r="D541" s="84">
        <v>0</v>
      </c>
      <c r="E541" s="84">
        <v>0</v>
      </c>
      <c r="F541" s="84">
        <v>0</v>
      </c>
      <c r="G541" s="84">
        <v>0</v>
      </c>
      <c r="H541" s="84">
        <v>0</v>
      </c>
      <c r="I541" s="84"/>
      <c r="J541" s="84">
        <v>0</v>
      </c>
      <c r="K541" s="84">
        <v>0</v>
      </c>
      <c r="L541" s="84">
        <v>0</v>
      </c>
      <c r="M541" s="84">
        <v>0</v>
      </c>
      <c r="N541" s="84">
        <v>0</v>
      </c>
    </row>
    <row r="542" spans="1:14" x14ac:dyDescent="0.25">
      <c r="A542" s="74" t="s">
        <v>1856</v>
      </c>
      <c r="B542" s="74">
        <v>3862</v>
      </c>
      <c r="C542" t="e">
        <f>VLOOKUP(B542,'Waste Lookups'!$B$1:$C$292,2,FALSE)</f>
        <v>#N/A</v>
      </c>
      <c r="D542" s="84">
        <v>0</v>
      </c>
      <c r="E542" s="84">
        <v>0</v>
      </c>
      <c r="F542" s="84">
        <v>0</v>
      </c>
      <c r="G542" s="84">
        <v>0</v>
      </c>
      <c r="H542" s="84">
        <v>0</v>
      </c>
      <c r="I542" s="84"/>
      <c r="J542" s="84">
        <v>0</v>
      </c>
      <c r="K542" s="84">
        <v>0</v>
      </c>
      <c r="L542" s="84">
        <v>0</v>
      </c>
      <c r="M542" s="84">
        <v>0</v>
      </c>
      <c r="N542" s="84">
        <v>0</v>
      </c>
    </row>
    <row r="543" spans="1:14" x14ac:dyDescent="0.25">
      <c r="A543" s="74" t="s">
        <v>770</v>
      </c>
      <c r="B543" s="74">
        <v>3868</v>
      </c>
      <c r="C543" t="str">
        <f>VLOOKUP(B543,'Waste Lookups'!$B$1:$C$292,2,FALSE)</f>
        <v>Curzon Road</v>
      </c>
      <c r="D543" s="84">
        <v>0</v>
      </c>
      <c r="E543" s="84">
        <v>1565.5309090909091</v>
      </c>
      <c r="F543" s="84">
        <v>0</v>
      </c>
      <c r="G543" s="84">
        <v>0</v>
      </c>
      <c r="H543" s="84">
        <v>288</v>
      </c>
      <c r="I543" s="84"/>
      <c r="J543" s="84">
        <v>0</v>
      </c>
      <c r="K543" s="84">
        <v>2018.0273319521857</v>
      </c>
      <c r="L543" s="84">
        <v>0</v>
      </c>
      <c r="M543" s="84">
        <v>0</v>
      </c>
      <c r="N543" s="84">
        <v>371.24266804781439</v>
      </c>
    </row>
    <row r="544" spans="1:14" x14ac:dyDescent="0.25">
      <c r="A544" s="74" t="s">
        <v>1859</v>
      </c>
      <c r="B544" s="74">
        <v>3871</v>
      </c>
      <c r="C544" t="e">
        <f>VLOOKUP(B544,'Waste Lookups'!$B$1:$C$292,2,FALSE)</f>
        <v>#N/A</v>
      </c>
      <c r="D544" s="84">
        <v>1651.7890909090909</v>
      </c>
      <c r="E544" s="84">
        <v>0</v>
      </c>
      <c r="F544" s="84">
        <v>0</v>
      </c>
      <c r="G544" s="84">
        <v>0</v>
      </c>
      <c r="H544" s="84">
        <v>0</v>
      </c>
      <c r="I544" s="84"/>
      <c r="J544" s="84">
        <v>1836.13</v>
      </c>
      <c r="K544" s="84">
        <v>0</v>
      </c>
      <c r="L544" s="84">
        <v>0</v>
      </c>
      <c r="M544" s="84">
        <v>0</v>
      </c>
      <c r="N544" s="84">
        <v>0</v>
      </c>
    </row>
    <row r="545" spans="1:14" x14ac:dyDescent="0.25">
      <c r="A545" s="74" t="s">
        <v>1861</v>
      </c>
      <c r="B545" s="74">
        <v>3873</v>
      </c>
      <c r="C545" t="e">
        <f>VLOOKUP(B545,'Waste Lookups'!$B$1:$C$292,2,FALSE)</f>
        <v>#N/A</v>
      </c>
      <c r="D545" s="84">
        <v>721.87636363636364</v>
      </c>
      <c r="E545" s="84">
        <v>0</v>
      </c>
      <c r="F545" s="84">
        <v>0</v>
      </c>
      <c r="G545" s="84">
        <v>0</v>
      </c>
      <c r="H545" s="84">
        <v>0</v>
      </c>
      <c r="I545" s="84"/>
      <c r="J545" s="84">
        <v>608.65</v>
      </c>
      <c r="K545" s="84">
        <v>0</v>
      </c>
      <c r="L545" s="84">
        <v>0</v>
      </c>
      <c r="M545" s="84">
        <v>0</v>
      </c>
      <c r="N545" s="84">
        <v>0</v>
      </c>
    </row>
    <row r="546" spans="1:14" x14ac:dyDescent="0.25">
      <c r="A546" s="74" t="s">
        <v>1863</v>
      </c>
      <c r="B546" s="74">
        <v>3875</v>
      </c>
      <c r="C546" t="e">
        <f>VLOOKUP(B546,'Waste Lookups'!$B$1:$C$292,2,FALSE)</f>
        <v>#N/A</v>
      </c>
      <c r="D546" s="84">
        <v>1637.2800000000002</v>
      </c>
      <c r="E546" s="84">
        <v>1081.0036363636364</v>
      </c>
      <c r="F546" s="84">
        <v>0</v>
      </c>
      <c r="G546" s="84">
        <v>0</v>
      </c>
      <c r="H546" s="84">
        <v>117.81818181818181</v>
      </c>
      <c r="I546" s="84"/>
      <c r="J546" s="84">
        <v>2165.9986452595622</v>
      </c>
      <c r="K546" s="84">
        <v>1430.0867364679814</v>
      </c>
      <c r="L546" s="84">
        <v>0</v>
      </c>
      <c r="M546" s="84">
        <v>0</v>
      </c>
      <c r="N546" s="84">
        <v>155.86461827245589</v>
      </c>
    </row>
    <row r="547" spans="1:14" x14ac:dyDescent="0.25">
      <c r="A547" s="74" t="s">
        <v>769</v>
      </c>
      <c r="B547" s="74">
        <v>3876</v>
      </c>
      <c r="C547" t="str">
        <f>VLOOKUP(B547,'Waste Lookups'!$B$1:$C$292,2,FALSE)</f>
        <v>Merton House (3rd Floor &amp; Part 5th Floor)</v>
      </c>
      <c r="D547" s="84">
        <v>0</v>
      </c>
      <c r="E547" s="84">
        <v>373.09090909090907</v>
      </c>
      <c r="F547" s="84">
        <v>0</v>
      </c>
      <c r="G547" s="84">
        <v>0</v>
      </c>
      <c r="H547" s="84">
        <v>91.63636363636364</v>
      </c>
      <c r="I547" s="84"/>
      <c r="J547" s="84">
        <v>0</v>
      </c>
      <c r="K547" s="84">
        <v>674.36619718309862</v>
      </c>
      <c r="L547" s="84">
        <v>0</v>
      </c>
      <c r="M547" s="84">
        <v>0</v>
      </c>
      <c r="N547" s="84">
        <v>165.63380281690141</v>
      </c>
    </row>
    <row r="548" spans="1:14" x14ac:dyDescent="0.25">
      <c r="A548" s="74" t="s">
        <v>1866</v>
      </c>
      <c r="B548" s="74">
        <v>3877</v>
      </c>
      <c r="C548" t="e">
        <f>VLOOKUP(B548,'Waste Lookups'!$B$1:$C$292,2,FALSE)</f>
        <v>#N/A</v>
      </c>
      <c r="D548" s="84">
        <v>1054.7236363636362</v>
      </c>
      <c r="E548" s="84">
        <v>580.51636363636362</v>
      </c>
      <c r="F548" s="84">
        <v>0</v>
      </c>
      <c r="G548" s="84">
        <v>0</v>
      </c>
      <c r="H548" s="84">
        <v>0</v>
      </c>
      <c r="I548" s="84"/>
      <c r="J548" s="84">
        <v>945.06137721235245</v>
      </c>
      <c r="K548" s="84">
        <v>520.15862278764757</v>
      </c>
      <c r="L548" s="84">
        <v>0</v>
      </c>
      <c r="M548" s="84">
        <v>0</v>
      </c>
      <c r="N548" s="84">
        <v>0</v>
      </c>
    </row>
    <row r="549" spans="1:14" x14ac:dyDescent="0.25">
      <c r="A549" s="74" t="s">
        <v>1868</v>
      </c>
      <c r="B549" s="74">
        <v>3878</v>
      </c>
      <c r="C549" t="e">
        <f>VLOOKUP(B549,'Waste Lookups'!$B$1:$C$292,2,FALSE)</f>
        <v>#N/A</v>
      </c>
      <c r="D549" s="84">
        <v>0</v>
      </c>
      <c r="E549" s="84">
        <v>265.74545454545455</v>
      </c>
      <c r="F549" s="84">
        <v>0</v>
      </c>
      <c r="G549" s="84">
        <v>0</v>
      </c>
      <c r="H549" s="84">
        <v>0</v>
      </c>
      <c r="I549" s="84"/>
      <c r="J549" s="84">
        <v>0</v>
      </c>
      <c r="K549" s="84">
        <v>609</v>
      </c>
      <c r="L549" s="84">
        <v>0</v>
      </c>
      <c r="M549" s="84">
        <v>0</v>
      </c>
      <c r="N549" s="84">
        <v>0</v>
      </c>
    </row>
    <row r="550" spans="1:14" x14ac:dyDescent="0.25">
      <c r="A550" s="74" t="s">
        <v>1870</v>
      </c>
      <c r="B550" s="74">
        <v>3879</v>
      </c>
      <c r="C550" t="e">
        <f>VLOOKUP(B550,'Waste Lookups'!$B$1:$C$292,2,FALSE)</f>
        <v>#N/A</v>
      </c>
      <c r="D550" s="84">
        <v>1202.04</v>
      </c>
      <c r="E550" s="84">
        <v>707.30181818181825</v>
      </c>
      <c r="F550" s="84">
        <v>0</v>
      </c>
      <c r="G550" s="84">
        <v>0</v>
      </c>
      <c r="H550" s="84">
        <v>0</v>
      </c>
      <c r="I550" s="84"/>
      <c r="J550" s="84">
        <v>651.66730909651869</v>
      </c>
      <c r="K550" s="84">
        <v>383.45269090348125</v>
      </c>
      <c r="L550" s="84">
        <v>0</v>
      </c>
      <c r="M550" s="84">
        <v>0</v>
      </c>
      <c r="N550" s="84">
        <v>0</v>
      </c>
    </row>
    <row r="551" spans="1:14" x14ac:dyDescent="0.25">
      <c r="A551" s="74" t="s">
        <v>1872</v>
      </c>
      <c r="B551" s="74">
        <v>3880</v>
      </c>
      <c r="C551" t="e">
        <f>VLOOKUP(B551,'Waste Lookups'!$B$1:$C$292,2,FALSE)</f>
        <v>#N/A</v>
      </c>
      <c r="D551" s="84">
        <v>2089.4181818181819</v>
      </c>
      <c r="E551" s="84">
        <v>465.0545454545454</v>
      </c>
      <c r="F551" s="84">
        <v>0</v>
      </c>
      <c r="G551" s="84">
        <v>0</v>
      </c>
      <c r="H551" s="84">
        <v>0</v>
      </c>
      <c r="I551" s="84"/>
      <c r="J551" s="84">
        <v>1125.4759540485138</v>
      </c>
      <c r="K551" s="84">
        <v>250.50404595148615</v>
      </c>
      <c r="L551" s="84">
        <v>0</v>
      </c>
      <c r="M551" s="84">
        <v>0</v>
      </c>
      <c r="N551" s="84">
        <v>0</v>
      </c>
    </row>
    <row r="552" spans="1:14" x14ac:dyDescent="0.25">
      <c r="A552" s="74" t="s">
        <v>1874</v>
      </c>
      <c r="B552" s="74">
        <v>3881</v>
      </c>
      <c r="C552" t="e">
        <f>VLOOKUP(B552,'Waste Lookups'!$B$1:$C$292,2,FALSE)</f>
        <v>#N/A</v>
      </c>
      <c r="D552" s="84">
        <v>515.21454545454537</v>
      </c>
      <c r="E552" s="84">
        <v>660.15272727272725</v>
      </c>
      <c r="F552" s="84">
        <v>0</v>
      </c>
      <c r="G552" s="84">
        <v>0</v>
      </c>
      <c r="H552" s="84">
        <v>26.18181818181818</v>
      </c>
      <c r="I552" s="84"/>
      <c r="J552" s="84">
        <v>251.17344482577033</v>
      </c>
      <c r="K552" s="84">
        <v>321.83259592162841</v>
      </c>
      <c r="L552" s="84">
        <v>0</v>
      </c>
      <c r="M552" s="84">
        <v>0</v>
      </c>
      <c r="N552" s="84">
        <v>12.763959252601186</v>
      </c>
    </row>
    <row r="553" spans="1:14" x14ac:dyDescent="0.25">
      <c r="A553" s="74" t="s">
        <v>1876</v>
      </c>
      <c r="B553" s="74">
        <v>3882</v>
      </c>
      <c r="C553" t="e">
        <f>VLOOKUP(B553,'Waste Lookups'!$B$1:$C$292,2,FALSE)</f>
        <v>#N/A</v>
      </c>
      <c r="D553" s="84">
        <v>495.42545454545461</v>
      </c>
      <c r="E553" s="84">
        <v>168.27272727272728</v>
      </c>
      <c r="F553" s="84">
        <v>0</v>
      </c>
      <c r="G553" s="84">
        <v>0</v>
      </c>
      <c r="H553" s="84">
        <v>0</v>
      </c>
      <c r="I553" s="84"/>
      <c r="J553" s="84">
        <v>1671.6344078633772</v>
      </c>
      <c r="K553" s="84">
        <v>567.77559213662289</v>
      </c>
      <c r="L553" s="84">
        <v>0</v>
      </c>
      <c r="M553" s="84">
        <v>0</v>
      </c>
      <c r="N553" s="84">
        <v>0</v>
      </c>
    </row>
    <row r="554" spans="1:14" x14ac:dyDescent="0.25">
      <c r="A554" s="74" t="s">
        <v>1878</v>
      </c>
      <c r="B554" s="74">
        <v>3884</v>
      </c>
      <c r="C554" t="e">
        <f>VLOOKUP(B554,'Waste Lookups'!$B$1:$C$292,2,FALSE)</f>
        <v>#N/A</v>
      </c>
      <c r="D554" s="84">
        <v>0</v>
      </c>
      <c r="E554" s="84">
        <v>0</v>
      </c>
      <c r="F554" s="84">
        <v>0</v>
      </c>
      <c r="G554" s="84">
        <v>0</v>
      </c>
      <c r="H554" s="84">
        <v>0</v>
      </c>
      <c r="I554" s="84"/>
      <c r="J554" s="84">
        <v>0</v>
      </c>
      <c r="K554" s="84">
        <v>0</v>
      </c>
      <c r="L554" s="84">
        <v>0</v>
      </c>
      <c r="M554" s="84">
        <v>0</v>
      </c>
      <c r="N554" s="84">
        <v>0</v>
      </c>
    </row>
    <row r="555" spans="1:14" x14ac:dyDescent="0.25">
      <c r="A555" s="74" t="s">
        <v>1880</v>
      </c>
      <c r="B555" s="74">
        <v>3885</v>
      </c>
      <c r="C555" t="e">
        <f>VLOOKUP(B555,'Waste Lookups'!$B$1:$C$292,2,FALSE)</f>
        <v>#N/A</v>
      </c>
      <c r="D555" s="84">
        <v>0</v>
      </c>
      <c r="E555" s="84">
        <v>438.54545454545456</v>
      </c>
      <c r="F555" s="84">
        <v>0</v>
      </c>
      <c r="G555" s="84">
        <v>0</v>
      </c>
      <c r="H555" s="84">
        <v>0</v>
      </c>
      <c r="I555" s="84"/>
      <c r="J555" s="84">
        <v>0</v>
      </c>
      <c r="K555" s="84">
        <v>923.6</v>
      </c>
      <c r="L555" s="84">
        <v>0</v>
      </c>
      <c r="M555" s="84">
        <v>0</v>
      </c>
      <c r="N555" s="84">
        <v>0</v>
      </c>
    </row>
    <row r="556" spans="1:14" x14ac:dyDescent="0.25">
      <c r="A556" s="74" t="s">
        <v>1882</v>
      </c>
      <c r="B556" s="74">
        <v>3886</v>
      </c>
      <c r="C556" t="e">
        <f>VLOOKUP(B556,'Waste Lookups'!$B$1:$C$292,2,FALSE)</f>
        <v>#N/A</v>
      </c>
      <c r="D556" s="84">
        <v>1165.56</v>
      </c>
      <c r="E556" s="84">
        <v>2487.3272727272729</v>
      </c>
      <c r="F556" s="84">
        <v>0</v>
      </c>
      <c r="G556" s="84">
        <v>0</v>
      </c>
      <c r="H556" s="84">
        <v>0</v>
      </c>
      <c r="I556" s="84"/>
      <c r="J556" s="84">
        <v>595.65368158089632</v>
      </c>
      <c r="K556" s="84">
        <v>1271.1363184191036</v>
      </c>
      <c r="L556" s="84">
        <v>0</v>
      </c>
      <c r="M556" s="84">
        <v>0</v>
      </c>
      <c r="N556" s="84">
        <v>0</v>
      </c>
    </row>
    <row r="557" spans="1:14" x14ac:dyDescent="0.25">
      <c r="A557" s="74" t="s">
        <v>1884</v>
      </c>
      <c r="B557" s="74">
        <v>3891</v>
      </c>
      <c r="C557" t="e">
        <f>VLOOKUP(B557,'Waste Lookups'!$B$1:$C$292,2,FALSE)</f>
        <v>#N/A</v>
      </c>
      <c r="D557" s="84">
        <v>70.930909090909083</v>
      </c>
      <c r="E557" s="84">
        <v>0</v>
      </c>
      <c r="F557" s="84">
        <v>0</v>
      </c>
      <c r="G557" s="84">
        <v>0</v>
      </c>
      <c r="H557" s="84">
        <v>0</v>
      </c>
      <c r="I557" s="84"/>
      <c r="J557" s="84">
        <v>0</v>
      </c>
      <c r="K557" s="84">
        <v>0</v>
      </c>
      <c r="L557" s="84">
        <v>0</v>
      </c>
      <c r="M557" s="84">
        <v>0</v>
      </c>
      <c r="N557" s="84">
        <v>0</v>
      </c>
    </row>
    <row r="558" spans="1:14" x14ac:dyDescent="0.25">
      <c r="A558" s="74" t="s">
        <v>1886</v>
      </c>
      <c r="B558" s="74">
        <v>3900</v>
      </c>
      <c r="C558" t="e">
        <f>VLOOKUP(B558,'Waste Lookups'!$B$1:$C$292,2,FALSE)</f>
        <v>#N/A</v>
      </c>
      <c r="D558" s="84">
        <v>0</v>
      </c>
      <c r="E558" s="84">
        <v>1277.8909090909092</v>
      </c>
      <c r="F558" s="84">
        <v>0</v>
      </c>
      <c r="G558" s="84">
        <v>0</v>
      </c>
      <c r="H558" s="84">
        <v>0</v>
      </c>
      <c r="I558" s="84"/>
      <c r="J558" s="84">
        <v>0</v>
      </c>
      <c r="K558" s="84">
        <v>0</v>
      </c>
      <c r="L558" s="84">
        <v>0</v>
      </c>
      <c r="M558" s="84">
        <v>0</v>
      </c>
      <c r="N558" s="84">
        <v>0</v>
      </c>
    </row>
    <row r="559" spans="1:14" x14ac:dyDescent="0.25">
      <c r="A559" s="74" t="s">
        <v>1888</v>
      </c>
      <c r="B559" s="74">
        <v>3904</v>
      </c>
      <c r="C559" t="e">
        <f>VLOOKUP(B559,'Waste Lookups'!$B$1:$C$292,2,FALSE)</f>
        <v>#N/A</v>
      </c>
      <c r="D559" s="84">
        <v>0</v>
      </c>
      <c r="E559" s="84">
        <v>277.70181818181817</v>
      </c>
      <c r="F559" s="84">
        <v>0</v>
      </c>
      <c r="G559" s="84">
        <v>0</v>
      </c>
      <c r="H559" s="84">
        <v>0</v>
      </c>
      <c r="I559" s="84"/>
      <c r="J559" s="84">
        <v>0</v>
      </c>
      <c r="K559" s="84">
        <v>0</v>
      </c>
      <c r="L559" s="84">
        <v>0</v>
      </c>
      <c r="M559" s="84">
        <v>0</v>
      </c>
      <c r="N559" s="84">
        <v>0</v>
      </c>
    </row>
    <row r="560" spans="1:14" x14ac:dyDescent="0.25">
      <c r="A560" s="74" t="s">
        <v>1890</v>
      </c>
      <c r="B560" s="74">
        <v>3905</v>
      </c>
      <c r="C560" t="e">
        <f>VLOOKUP(B560,'Waste Lookups'!$B$1:$C$292,2,FALSE)</f>
        <v>#N/A</v>
      </c>
      <c r="D560" s="84">
        <v>401.24727272727273</v>
      </c>
      <c r="E560" s="84">
        <v>0</v>
      </c>
      <c r="F560" s="84">
        <v>0</v>
      </c>
      <c r="G560" s="84">
        <v>0</v>
      </c>
      <c r="H560" s="84">
        <v>0</v>
      </c>
      <c r="I560" s="84"/>
      <c r="J560" s="84">
        <v>91.2</v>
      </c>
      <c r="K560" s="84">
        <v>0</v>
      </c>
      <c r="L560" s="84">
        <v>0</v>
      </c>
      <c r="M560" s="84">
        <v>0</v>
      </c>
      <c r="N560" s="84">
        <v>0</v>
      </c>
    </row>
    <row r="561" spans="1:14" x14ac:dyDescent="0.25">
      <c r="A561" s="74" t="s">
        <v>1892</v>
      </c>
      <c r="B561" s="74">
        <v>3961</v>
      </c>
      <c r="C561" t="e">
        <f>VLOOKUP(B561,'Waste Lookups'!$B$1:$C$292,2,FALSE)</f>
        <v>#N/A</v>
      </c>
      <c r="D561" s="84">
        <v>0</v>
      </c>
      <c r="E561" s="84">
        <v>389.66181818181815</v>
      </c>
      <c r="F561" s="84">
        <v>0</v>
      </c>
      <c r="G561" s="84">
        <v>0</v>
      </c>
      <c r="H561" s="84">
        <v>0</v>
      </c>
      <c r="I561" s="84"/>
      <c r="J561" s="84">
        <v>0</v>
      </c>
      <c r="K561" s="84">
        <v>1447.98</v>
      </c>
      <c r="L561" s="84">
        <v>0</v>
      </c>
      <c r="M561" s="84">
        <v>0</v>
      </c>
      <c r="N561" s="84">
        <v>0</v>
      </c>
    </row>
    <row r="562" spans="1:14" x14ac:dyDescent="0.25">
      <c r="A562" s="74" t="s">
        <v>1894</v>
      </c>
      <c r="B562" s="74">
        <v>3962</v>
      </c>
      <c r="C562" t="e">
        <f>VLOOKUP(B562,'Waste Lookups'!$B$1:$C$292,2,FALSE)</f>
        <v>#N/A</v>
      </c>
      <c r="D562" s="84">
        <v>0</v>
      </c>
      <c r="E562" s="84">
        <v>0</v>
      </c>
      <c r="F562" s="84">
        <v>0</v>
      </c>
      <c r="G562" s="84">
        <v>0</v>
      </c>
      <c r="H562" s="84">
        <v>0</v>
      </c>
      <c r="I562" s="84"/>
      <c r="J562" s="84">
        <v>0</v>
      </c>
      <c r="K562" s="84">
        <v>0</v>
      </c>
      <c r="L562" s="84">
        <v>0</v>
      </c>
      <c r="M562" s="84">
        <v>0</v>
      </c>
      <c r="N562" s="84">
        <v>0</v>
      </c>
    </row>
    <row r="563" spans="1:14" x14ac:dyDescent="0.25">
      <c r="A563" s="74" t="s">
        <v>1896</v>
      </c>
      <c r="B563" s="74">
        <v>3964</v>
      </c>
      <c r="C563" t="e">
        <f>VLOOKUP(B563,'Waste Lookups'!$B$1:$C$292,2,FALSE)</f>
        <v>#N/A</v>
      </c>
      <c r="D563" s="84">
        <v>1031.2909090909091</v>
      </c>
      <c r="E563" s="84">
        <v>2188.8109090909088</v>
      </c>
      <c r="F563" s="84">
        <v>0</v>
      </c>
      <c r="G563" s="84">
        <v>0</v>
      </c>
      <c r="H563" s="84">
        <v>223.2</v>
      </c>
      <c r="I563" s="84"/>
      <c r="J563" s="84">
        <v>1178.2851073705156</v>
      </c>
      <c r="K563" s="84">
        <v>2500.7912649064115</v>
      </c>
      <c r="L563" s="84">
        <v>0</v>
      </c>
      <c r="M563" s="84">
        <v>0</v>
      </c>
      <c r="N563" s="84">
        <v>255.01362772307343</v>
      </c>
    </row>
    <row r="564" spans="1:14" x14ac:dyDescent="0.25">
      <c r="A564" s="74" t="s">
        <v>768</v>
      </c>
      <c r="B564" s="74">
        <v>3965</v>
      </c>
      <c r="C564" t="str">
        <f>VLOOKUP(B564,'Waste Lookups'!$B$1:$C$292,2,FALSE)</f>
        <v>Arthouse Square</v>
      </c>
      <c r="D564" s="84">
        <v>0</v>
      </c>
      <c r="E564" s="84">
        <v>7716.96</v>
      </c>
      <c r="F564" s="84">
        <v>0</v>
      </c>
      <c r="G564" s="84">
        <v>0</v>
      </c>
      <c r="H564" s="84">
        <v>1024.8218181818181</v>
      </c>
      <c r="I564" s="84"/>
      <c r="J564" s="84">
        <v>0</v>
      </c>
      <c r="K564" s="84">
        <v>9335.4418000074875</v>
      </c>
      <c r="L564" s="84">
        <v>0</v>
      </c>
      <c r="M564" s="84">
        <v>0</v>
      </c>
      <c r="N564" s="84">
        <v>1239.7581999925126</v>
      </c>
    </row>
    <row r="565" spans="1:14" x14ac:dyDescent="0.25">
      <c r="A565" s="74" t="s">
        <v>1899</v>
      </c>
      <c r="B565" s="74">
        <v>3966</v>
      </c>
      <c r="C565" t="e">
        <f>VLOOKUP(B565,'Waste Lookups'!$B$1:$C$292,2,FALSE)</f>
        <v>#N/A</v>
      </c>
      <c r="D565" s="84">
        <v>1006.9527272727272</v>
      </c>
      <c r="E565" s="84">
        <v>1921.3309090909088</v>
      </c>
      <c r="F565" s="84">
        <v>0</v>
      </c>
      <c r="G565" s="84">
        <v>0</v>
      </c>
      <c r="H565" s="84">
        <v>0</v>
      </c>
      <c r="I565" s="84"/>
      <c r="J565" s="84">
        <v>1395.770204674659</v>
      </c>
      <c r="K565" s="84">
        <v>2663.2197953253408</v>
      </c>
      <c r="L565" s="84">
        <v>0</v>
      </c>
      <c r="M565" s="84">
        <v>0</v>
      </c>
      <c r="N565" s="84">
        <v>0</v>
      </c>
    </row>
    <row r="566" spans="1:14" x14ac:dyDescent="0.25">
      <c r="A566" s="74" t="s">
        <v>716</v>
      </c>
      <c r="B566" s="74">
        <v>3967</v>
      </c>
      <c r="C566" t="str">
        <f>VLOOKUP(B566,'Waste Lookups'!$B$1:$C$292,2,FALSE)</f>
        <v>Bevan House</v>
      </c>
      <c r="D566" s="84">
        <v>0</v>
      </c>
      <c r="E566" s="84">
        <v>12080.105454545455</v>
      </c>
      <c r="F566" s="84">
        <v>0</v>
      </c>
      <c r="G566" s="84">
        <v>0</v>
      </c>
      <c r="H566" s="84">
        <v>1018.3418181818181</v>
      </c>
      <c r="I566" s="84"/>
      <c r="J566" s="84">
        <v>0</v>
      </c>
      <c r="K566" s="84">
        <v>17846.27534486392</v>
      </c>
      <c r="L566" s="84">
        <v>0</v>
      </c>
      <c r="M566" s="84">
        <v>0</v>
      </c>
      <c r="N566" s="84">
        <v>1504.4246551360841</v>
      </c>
    </row>
    <row r="567" spans="1:14" x14ac:dyDescent="0.25">
      <c r="A567" s="74" t="s">
        <v>1902</v>
      </c>
      <c r="B567" s="74">
        <v>3968</v>
      </c>
      <c r="C567" t="e">
        <f>VLOOKUP(B567,'Waste Lookups'!$B$1:$C$292,2,FALSE)</f>
        <v>#N/A</v>
      </c>
      <c r="D567" s="84">
        <v>0</v>
      </c>
      <c r="E567" s="84">
        <v>0</v>
      </c>
      <c r="F567" s="84">
        <v>0</v>
      </c>
      <c r="G567" s="84">
        <v>0</v>
      </c>
      <c r="H567" s="84">
        <v>0</v>
      </c>
      <c r="I567" s="84"/>
      <c r="J567" s="84">
        <v>0</v>
      </c>
      <c r="K567" s="84">
        <v>0</v>
      </c>
      <c r="L567" s="84">
        <v>0</v>
      </c>
      <c r="M567" s="84">
        <v>0</v>
      </c>
      <c r="N567" s="84">
        <v>0</v>
      </c>
    </row>
    <row r="568" spans="1:14" x14ac:dyDescent="0.25">
      <c r="A568" s="74" t="s">
        <v>1904</v>
      </c>
      <c r="B568" s="74">
        <v>3969</v>
      </c>
      <c r="C568" t="e">
        <f>VLOOKUP(B568,'Waste Lookups'!$B$1:$C$292,2,FALSE)</f>
        <v>#N/A</v>
      </c>
      <c r="D568" s="84">
        <v>0</v>
      </c>
      <c r="E568" s="84">
        <v>0</v>
      </c>
      <c r="F568" s="84">
        <v>0</v>
      </c>
      <c r="G568" s="84">
        <v>0</v>
      </c>
      <c r="H568" s="84">
        <v>0</v>
      </c>
      <c r="I568" s="84"/>
      <c r="J568" s="84">
        <v>0</v>
      </c>
      <c r="K568" s="84">
        <v>0</v>
      </c>
      <c r="L568" s="84">
        <v>0</v>
      </c>
      <c r="M568" s="84">
        <v>0</v>
      </c>
      <c r="N568" s="84">
        <v>0</v>
      </c>
    </row>
    <row r="569" spans="1:14" x14ac:dyDescent="0.25">
      <c r="A569" s="74" t="s">
        <v>1906</v>
      </c>
      <c r="B569" s="74">
        <v>3970</v>
      </c>
      <c r="C569" t="e">
        <f>VLOOKUP(B569,'Waste Lookups'!$B$1:$C$292,2,FALSE)</f>
        <v>#N/A</v>
      </c>
      <c r="D569" s="84">
        <v>73.669090909090912</v>
      </c>
      <c r="E569" s="84">
        <v>6337.5709090909095</v>
      </c>
      <c r="F569" s="84">
        <v>0</v>
      </c>
      <c r="G569" s="84">
        <v>0</v>
      </c>
      <c r="H569" s="84">
        <v>0</v>
      </c>
      <c r="I569" s="84"/>
      <c r="J569" s="84">
        <v>93.107189878457774</v>
      </c>
      <c r="K569" s="84">
        <v>8009.7828101215418</v>
      </c>
      <c r="L569" s="84">
        <v>0</v>
      </c>
      <c r="M569" s="84">
        <v>0</v>
      </c>
      <c r="N569" s="84">
        <v>0</v>
      </c>
    </row>
    <row r="570" spans="1:14" x14ac:dyDescent="0.25">
      <c r="A570" s="74" t="s">
        <v>1908</v>
      </c>
      <c r="B570" s="74">
        <v>3971</v>
      </c>
      <c r="C570" t="e">
        <f>VLOOKUP(B570,'Waste Lookups'!$B$1:$C$292,2,FALSE)</f>
        <v>#N/A</v>
      </c>
      <c r="D570" s="84">
        <v>1603.4181818181819</v>
      </c>
      <c r="E570" s="84">
        <v>246.81818181818181</v>
      </c>
      <c r="F570" s="84">
        <v>0</v>
      </c>
      <c r="G570" s="84">
        <v>0</v>
      </c>
      <c r="H570" s="84">
        <v>0</v>
      </c>
      <c r="I570" s="84"/>
      <c r="J570" s="84">
        <v>555.10178945196196</v>
      </c>
      <c r="K570" s="84">
        <v>85.448210548038077</v>
      </c>
      <c r="L570" s="84">
        <v>0</v>
      </c>
      <c r="M570" s="84">
        <v>0</v>
      </c>
      <c r="N570" s="84">
        <v>0</v>
      </c>
    </row>
    <row r="571" spans="1:14" x14ac:dyDescent="0.25">
      <c r="A571" s="74" t="s">
        <v>1910</v>
      </c>
      <c r="B571" s="74">
        <v>3972</v>
      </c>
      <c r="C571" t="e">
        <f>VLOOKUP(B571,'Waste Lookups'!$B$1:$C$292,2,FALSE)</f>
        <v>#N/A</v>
      </c>
      <c r="D571" s="84">
        <v>0</v>
      </c>
      <c r="E571" s="84">
        <v>714.44727272727266</v>
      </c>
      <c r="F571" s="84">
        <v>0</v>
      </c>
      <c r="G571" s="84">
        <v>0</v>
      </c>
      <c r="H571" s="84">
        <v>595.37454545454545</v>
      </c>
      <c r="I571" s="84"/>
      <c r="J571" s="84">
        <v>0</v>
      </c>
      <c r="K571" s="84">
        <v>378.10311151273868</v>
      </c>
      <c r="L571" s="84">
        <v>0</v>
      </c>
      <c r="M571" s="84">
        <v>0</v>
      </c>
      <c r="N571" s="84">
        <v>315.08688848726132</v>
      </c>
    </row>
    <row r="572" spans="1:14" x14ac:dyDescent="0.25">
      <c r="A572" s="74" t="s">
        <v>1912</v>
      </c>
      <c r="B572" s="74">
        <v>3974</v>
      </c>
      <c r="C572" t="e">
        <f>VLOOKUP(B572,'Waste Lookups'!$B$1:$C$292,2,FALSE)</f>
        <v>#N/A</v>
      </c>
      <c r="D572" s="84">
        <v>0</v>
      </c>
      <c r="E572" s="84">
        <v>4008.0654545454545</v>
      </c>
      <c r="F572" s="84">
        <v>0</v>
      </c>
      <c r="G572" s="84">
        <v>0</v>
      </c>
      <c r="H572" s="84">
        <v>0</v>
      </c>
      <c r="I572" s="84"/>
      <c r="J572" s="84">
        <v>0</v>
      </c>
      <c r="K572" s="84">
        <v>0</v>
      </c>
      <c r="L572" s="84">
        <v>0</v>
      </c>
      <c r="M572" s="84">
        <v>0</v>
      </c>
      <c r="N572" s="84">
        <v>0</v>
      </c>
    </row>
    <row r="573" spans="1:14" x14ac:dyDescent="0.25">
      <c r="A573" s="74" t="s">
        <v>1914</v>
      </c>
      <c r="B573" s="74">
        <v>3977</v>
      </c>
      <c r="C573" t="e">
        <f>VLOOKUP(B573,'Waste Lookups'!$B$1:$C$292,2,FALSE)</f>
        <v>#N/A</v>
      </c>
      <c r="D573" s="84">
        <v>0</v>
      </c>
      <c r="E573" s="84">
        <v>0</v>
      </c>
      <c r="F573" s="84">
        <v>0</v>
      </c>
      <c r="G573" s="84">
        <v>0</v>
      </c>
      <c r="H573" s="84">
        <v>0</v>
      </c>
      <c r="I573" s="84"/>
      <c r="J573" s="84">
        <v>0</v>
      </c>
      <c r="K573" s="84">
        <v>0</v>
      </c>
      <c r="L573" s="84">
        <v>0</v>
      </c>
      <c r="M573" s="84">
        <v>0</v>
      </c>
      <c r="N573" s="84">
        <v>0</v>
      </c>
    </row>
    <row r="574" spans="1:14" x14ac:dyDescent="0.25">
      <c r="A574" s="74" t="s">
        <v>1916</v>
      </c>
      <c r="B574" s="74">
        <v>3978</v>
      </c>
      <c r="C574" t="e">
        <f>VLOOKUP(B574,'Waste Lookups'!$B$1:$C$292,2,FALSE)</f>
        <v>#N/A</v>
      </c>
      <c r="D574" s="84">
        <v>0</v>
      </c>
      <c r="E574" s="84">
        <v>0</v>
      </c>
      <c r="F574" s="84">
        <v>0</v>
      </c>
      <c r="G574" s="84">
        <v>0</v>
      </c>
      <c r="H574" s="84">
        <v>0</v>
      </c>
      <c r="I574" s="84"/>
      <c r="J574" s="84">
        <v>0</v>
      </c>
      <c r="K574" s="84">
        <v>0</v>
      </c>
      <c r="L574" s="84">
        <v>0</v>
      </c>
      <c r="M574" s="84">
        <v>0</v>
      </c>
      <c r="N574" s="84">
        <v>0</v>
      </c>
    </row>
    <row r="575" spans="1:14" x14ac:dyDescent="0.25">
      <c r="A575" s="74" t="s">
        <v>1918</v>
      </c>
      <c r="B575" s="74">
        <v>3981</v>
      </c>
      <c r="C575" t="e">
        <f>VLOOKUP(B575,'Waste Lookups'!$B$1:$C$292,2,FALSE)</f>
        <v>#N/A</v>
      </c>
      <c r="D575" s="84">
        <v>0</v>
      </c>
      <c r="E575" s="84">
        <v>1998.6</v>
      </c>
      <c r="F575" s="84">
        <v>0</v>
      </c>
      <c r="G575" s="84">
        <v>0</v>
      </c>
      <c r="H575" s="84">
        <v>79.385454545454536</v>
      </c>
      <c r="I575" s="84"/>
      <c r="J575" s="84">
        <v>0</v>
      </c>
      <c r="K575" s="84">
        <v>992.07428208439637</v>
      </c>
      <c r="L575" s="84">
        <v>0</v>
      </c>
      <c r="M575" s="84">
        <v>0</v>
      </c>
      <c r="N575" s="84">
        <v>39.405717915603574</v>
      </c>
    </row>
    <row r="576" spans="1:14" x14ac:dyDescent="0.25">
      <c r="A576" s="74" t="s">
        <v>1920</v>
      </c>
      <c r="B576" s="74">
        <v>3983</v>
      </c>
      <c r="C576" t="e">
        <f>VLOOKUP(B576,'Waste Lookups'!$B$1:$C$292,2,FALSE)</f>
        <v>#N/A</v>
      </c>
      <c r="D576" s="84">
        <v>0</v>
      </c>
      <c r="E576" s="84">
        <v>410.15999999999997</v>
      </c>
      <c r="F576" s="84">
        <v>0</v>
      </c>
      <c r="G576" s="84">
        <v>0</v>
      </c>
      <c r="H576" s="84">
        <v>408.80727272727279</v>
      </c>
      <c r="I576" s="84"/>
      <c r="J576" s="84">
        <v>0</v>
      </c>
      <c r="K576" s="84">
        <v>465.64285619138957</v>
      </c>
      <c r="L576" s="84">
        <v>0</v>
      </c>
      <c r="M576" s="84">
        <v>0</v>
      </c>
      <c r="N576" s="84">
        <v>464.10714380861049</v>
      </c>
    </row>
    <row r="577" spans="1:14" x14ac:dyDescent="0.25">
      <c r="A577" s="74" t="s">
        <v>1922</v>
      </c>
      <c r="B577" s="74">
        <v>3984</v>
      </c>
      <c r="C577" t="e">
        <f>VLOOKUP(B577,'Waste Lookups'!$B$1:$C$292,2,FALSE)</f>
        <v>#N/A</v>
      </c>
      <c r="D577" s="84">
        <v>0</v>
      </c>
      <c r="E577" s="84">
        <v>0</v>
      </c>
      <c r="F577" s="84">
        <v>0</v>
      </c>
      <c r="G577" s="84">
        <v>0</v>
      </c>
      <c r="H577" s="84">
        <v>0</v>
      </c>
      <c r="I577" s="84"/>
      <c r="J577" s="84">
        <v>0</v>
      </c>
      <c r="K577" s="84">
        <v>0</v>
      </c>
      <c r="L577" s="84">
        <v>0</v>
      </c>
      <c r="M577" s="84">
        <v>0</v>
      </c>
      <c r="N577" s="84">
        <v>0</v>
      </c>
    </row>
    <row r="578" spans="1:14" x14ac:dyDescent="0.25">
      <c r="A578" s="74" t="s">
        <v>1924</v>
      </c>
      <c r="B578" s="74">
        <v>3985</v>
      </c>
      <c r="C578" t="e">
        <f>VLOOKUP(B578,'Waste Lookups'!$B$1:$C$292,2,FALSE)</f>
        <v>#N/A</v>
      </c>
      <c r="D578" s="84">
        <v>287.24727272727273</v>
      </c>
      <c r="E578" s="84">
        <v>0</v>
      </c>
      <c r="F578" s="84">
        <v>0</v>
      </c>
      <c r="G578" s="84">
        <v>0</v>
      </c>
      <c r="H578" s="84">
        <v>0</v>
      </c>
      <c r="I578" s="84"/>
      <c r="J578" s="84">
        <v>25.74</v>
      </c>
      <c r="K578" s="84">
        <v>0</v>
      </c>
      <c r="L578" s="84">
        <v>0</v>
      </c>
      <c r="M578" s="84">
        <v>0</v>
      </c>
      <c r="N578" s="84">
        <v>0</v>
      </c>
    </row>
    <row r="579" spans="1:14" x14ac:dyDescent="0.25">
      <c r="A579" s="74" t="s">
        <v>1926</v>
      </c>
      <c r="B579" s="74">
        <v>3986</v>
      </c>
      <c r="C579" t="e">
        <f>VLOOKUP(B579,'Waste Lookups'!$B$1:$C$292,2,FALSE)</f>
        <v>#N/A</v>
      </c>
      <c r="D579" s="84">
        <v>604.84363636363639</v>
      </c>
      <c r="E579" s="84">
        <v>1408.909090909091</v>
      </c>
      <c r="F579" s="84">
        <v>0</v>
      </c>
      <c r="G579" s="84">
        <v>0</v>
      </c>
      <c r="H579" s="84">
        <v>0</v>
      </c>
      <c r="I579" s="84"/>
      <c r="J579" s="84">
        <v>847.87924872964459</v>
      </c>
      <c r="K579" s="84">
        <v>1975.0307512703555</v>
      </c>
      <c r="L579" s="84">
        <v>0</v>
      </c>
      <c r="M579" s="84">
        <v>0</v>
      </c>
      <c r="N579" s="84">
        <v>0</v>
      </c>
    </row>
    <row r="580" spans="1:14" x14ac:dyDescent="0.25">
      <c r="A580" s="74" t="s">
        <v>1928</v>
      </c>
      <c r="B580" s="74">
        <v>3989</v>
      </c>
      <c r="C580" t="e">
        <f>VLOOKUP(B580,'Waste Lookups'!$B$1:$C$292,2,FALSE)</f>
        <v>#N/A</v>
      </c>
      <c r="D580" s="84">
        <v>0</v>
      </c>
      <c r="E580" s="84">
        <v>476.31272727272733</v>
      </c>
      <c r="F580" s="84">
        <v>0</v>
      </c>
      <c r="G580" s="84">
        <v>0</v>
      </c>
      <c r="H580" s="84">
        <v>492.15272727272725</v>
      </c>
      <c r="I580" s="84"/>
      <c r="J580" s="84">
        <v>0</v>
      </c>
      <c r="K580" s="84">
        <v>417.53238375236555</v>
      </c>
      <c r="L580" s="84">
        <v>0</v>
      </c>
      <c r="M580" s="84">
        <v>0</v>
      </c>
      <c r="N580" s="84">
        <v>431.4176162476345</v>
      </c>
    </row>
    <row r="581" spans="1:14" x14ac:dyDescent="0.25">
      <c r="A581" s="74" t="s">
        <v>1930</v>
      </c>
      <c r="B581" s="74">
        <v>3990</v>
      </c>
      <c r="C581" t="e">
        <f>VLOOKUP(B581,'Waste Lookups'!$B$1:$C$292,2,FALSE)</f>
        <v>#N/A</v>
      </c>
      <c r="D581" s="84">
        <v>0</v>
      </c>
      <c r="E581" s="84">
        <v>0</v>
      </c>
      <c r="F581" s="84">
        <v>0</v>
      </c>
      <c r="G581" s="84">
        <v>0</v>
      </c>
      <c r="H581" s="84">
        <v>0</v>
      </c>
      <c r="I581" s="84"/>
      <c r="J581" s="84">
        <v>0</v>
      </c>
      <c r="K581" s="84">
        <v>0</v>
      </c>
      <c r="L581" s="84">
        <v>0</v>
      </c>
      <c r="M581" s="84">
        <v>0</v>
      </c>
      <c r="N581" s="84">
        <v>0</v>
      </c>
    </row>
    <row r="582" spans="1:14" x14ac:dyDescent="0.25">
      <c r="A582" s="74" t="s">
        <v>1932</v>
      </c>
      <c r="B582" s="74">
        <v>3992</v>
      </c>
      <c r="C582" t="e">
        <f>VLOOKUP(B582,'Waste Lookups'!$B$1:$C$292,2,FALSE)</f>
        <v>#N/A</v>
      </c>
      <c r="D582" s="84">
        <v>340.34181818181821</v>
      </c>
      <c r="E582" s="84">
        <v>2835.7745454545457</v>
      </c>
      <c r="F582" s="84">
        <v>0</v>
      </c>
      <c r="G582" s="84">
        <v>0</v>
      </c>
      <c r="H582" s="84">
        <v>405.04363636363644</v>
      </c>
      <c r="I582" s="84"/>
      <c r="J582" s="84">
        <v>159.34432219524601</v>
      </c>
      <c r="K582" s="84">
        <v>1327.6786709842113</v>
      </c>
      <c r="L582" s="84">
        <v>0</v>
      </c>
      <c r="M582" s="84">
        <v>0</v>
      </c>
      <c r="N582" s="84">
        <v>189.63700682054267</v>
      </c>
    </row>
    <row r="583" spans="1:14" x14ac:dyDescent="0.25">
      <c r="A583" s="74" t="s">
        <v>717</v>
      </c>
      <c r="B583" s="74">
        <v>3993</v>
      </c>
      <c r="C583" t="str">
        <f>VLOOKUP(B583,'Waste Lookups'!$B$1:$C$292,2,FALSE)</f>
        <v>Regatta Place</v>
      </c>
      <c r="D583" s="84">
        <v>0</v>
      </c>
      <c r="E583" s="84">
        <v>7500.556363636364</v>
      </c>
      <c r="F583" s="84">
        <v>0</v>
      </c>
      <c r="G583" s="84">
        <v>0</v>
      </c>
      <c r="H583" s="84">
        <v>440.81454545454545</v>
      </c>
      <c r="I583" s="84"/>
      <c r="J583" s="84">
        <v>0</v>
      </c>
      <c r="K583" s="84">
        <v>8880.854096576868</v>
      </c>
      <c r="L583" s="84">
        <v>0</v>
      </c>
      <c r="M583" s="84">
        <v>0</v>
      </c>
      <c r="N583" s="84">
        <v>521.93590342313234</v>
      </c>
    </row>
    <row r="584" spans="1:14" x14ac:dyDescent="0.25">
      <c r="A584" s="74" t="s">
        <v>1935</v>
      </c>
      <c r="B584" s="74">
        <v>3994</v>
      </c>
      <c r="C584" t="e">
        <f>VLOOKUP(B584,'Waste Lookups'!$B$1:$C$292,2,FALSE)</f>
        <v>#N/A</v>
      </c>
      <c r="D584" s="84">
        <v>864.00000000000011</v>
      </c>
      <c r="E584" s="84">
        <v>97.407272727272726</v>
      </c>
      <c r="F584" s="84">
        <v>0</v>
      </c>
      <c r="G584" s="84">
        <v>0</v>
      </c>
      <c r="H584" s="84">
        <v>404.84727272727275</v>
      </c>
      <c r="I584" s="84"/>
      <c r="J584" s="84">
        <v>2161.9753433407855</v>
      </c>
      <c r="K584" s="84">
        <v>243.74088182689226</v>
      </c>
      <c r="L584" s="84">
        <v>0</v>
      </c>
      <c r="M584" s="84">
        <v>0</v>
      </c>
      <c r="N584" s="84">
        <v>1013.0437748323216</v>
      </c>
    </row>
    <row r="585" spans="1:14" x14ac:dyDescent="0.25">
      <c r="A585" s="74" t="s">
        <v>1937</v>
      </c>
      <c r="B585" s="74">
        <v>3995</v>
      </c>
      <c r="C585" t="e">
        <f>VLOOKUP(B585,'Waste Lookups'!$B$1:$C$292,2,FALSE)</f>
        <v>#N/A</v>
      </c>
      <c r="D585" s="84">
        <v>0</v>
      </c>
      <c r="E585" s="84">
        <v>624.37090909090909</v>
      </c>
      <c r="F585" s="84">
        <v>0</v>
      </c>
      <c r="G585" s="84">
        <v>0</v>
      </c>
      <c r="H585" s="84">
        <v>0</v>
      </c>
      <c r="I585" s="84"/>
      <c r="J585" s="84">
        <v>0</v>
      </c>
      <c r="K585" s="84">
        <v>896.5200000000001</v>
      </c>
      <c r="L585" s="84">
        <v>0</v>
      </c>
      <c r="M585" s="84">
        <v>0</v>
      </c>
      <c r="N585" s="84">
        <v>0</v>
      </c>
    </row>
    <row r="586" spans="1:14" x14ac:dyDescent="0.25">
      <c r="A586" s="74" t="s">
        <v>1939</v>
      </c>
      <c r="B586" s="74">
        <v>3996</v>
      </c>
      <c r="C586" t="e">
        <f>VLOOKUP(B586,'Waste Lookups'!$B$1:$C$292,2,FALSE)</f>
        <v>#N/A</v>
      </c>
      <c r="D586" s="84">
        <v>1325.8254545454545</v>
      </c>
      <c r="E586" s="84">
        <v>2068.56</v>
      </c>
      <c r="F586" s="84">
        <v>0</v>
      </c>
      <c r="G586" s="84">
        <v>0</v>
      </c>
      <c r="H586" s="84">
        <v>288</v>
      </c>
      <c r="I586" s="84"/>
      <c r="J586" s="84">
        <v>1194.6626003104707</v>
      </c>
      <c r="K586" s="84">
        <v>1863.9190098710719</v>
      </c>
      <c r="L586" s="84">
        <v>0</v>
      </c>
      <c r="M586" s="84">
        <v>0</v>
      </c>
      <c r="N586" s="84">
        <v>259.5083898184576</v>
      </c>
    </row>
    <row r="587" spans="1:14" x14ac:dyDescent="0.25">
      <c r="A587" s="74" t="s">
        <v>1941</v>
      </c>
      <c r="B587" s="74">
        <v>3997</v>
      </c>
      <c r="C587" t="e">
        <f>VLOOKUP(B587,'Waste Lookups'!$B$1:$C$292,2,FALSE)</f>
        <v>#N/A</v>
      </c>
      <c r="D587" s="84">
        <v>0</v>
      </c>
      <c r="E587" s="84">
        <v>0</v>
      </c>
      <c r="F587" s="84">
        <v>0</v>
      </c>
      <c r="G587" s="84">
        <v>0</v>
      </c>
      <c r="H587" s="84">
        <v>0</v>
      </c>
      <c r="I587" s="84"/>
      <c r="J587" s="84">
        <v>0</v>
      </c>
      <c r="K587" s="84">
        <v>0</v>
      </c>
      <c r="L587" s="84">
        <v>0</v>
      </c>
      <c r="M587" s="84">
        <v>0</v>
      </c>
      <c r="N587" s="84">
        <v>0</v>
      </c>
    </row>
    <row r="588" spans="1:14" x14ac:dyDescent="0.25">
      <c r="A588" s="74" t="s">
        <v>1943</v>
      </c>
      <c r="B588" s="74">
        <v>3998</v>
      </c>
      <c r="C588" t="e">
        <f>VLOOKUP(B588,'Waste Lookups'!$B$1:$C$292,2,FALSE)</f>
        <v>#N/A</v>
      </c>
      <c r="D588" s="84">
        <v>0</v>
      </c>
      <c r="E588" s="84">
        <v>0</v>
      </c>
      <c r="F588" s="84">
        <v>0</v>
      </c>
      <c r="G588" s="84">
        <v>0</v>
      </c>
      <c r="H588" s="84">
        <v>0</v>
      </c>
      <c r="I588" s="84"/>
      <c r="J588" s="84">
        <v>0</v>
      </c>
      <c r="K588" s="84">
        <v>0</v>
      </c>
      <c r="L588" s="84">
        <v>0</v>
      </c>
      <c r="M588" s="84">
        <v>0</v>
      </c>
      <c r="N588" s="84">
        <v>0</v>
      </c>
    </row>
    <row r="589" spans="1:14" x14ac:dyDescent="0.25">
      <c r="A589" s="74" t="s">
        <v>1945</v>
      </c>
      <c r="B589" s="74">
        <v>3999</v>
      </c>
      <c r="C589" t="e">
        <f>VLOOKUP(B589,'Waste Lookups'!$B$1:$C$292,2,FALSE)</f>
        <v>#N/A</v>
      </c>
      <c r="D589" s="84">
        <v>710.96727272727276</v>
      </c>
      <c r="E589" s="84">
        <v>677.97818181818184</v>
      </c>
      <c r="F589" s="84">
        <v>0</v>
      </c>
      <c r="G589" s="84">
        <v>0</v>
      </c>
      <c r="H589" s="84">
        <v>0</v>
      </c>
      <c r="I589" s="84"/>
      <c r="J589" s="84">
        <v>806.85925353440143</v>
      </c>
      <c r="K589" s="84">
        <v>769.42074646559854</v>
      </c>
      <c r="L589" s="84">
        <v>0</v>
      </c>
      <c r="M589" s="84">
        <v>0</v>
      </c>
      <c r="N589" s="84">
        <v>0</v>
      </c>
    </row>
    <row r="590" spans="1:14" x14ac:dyDescent="0.25">
      <c r="A590" s="74" t="s">
        <v>1947</v>
      </c>
      <c r="B590" s="74">
        <v>4000</v>
      </c>
      <c r="C590" t="e">
        <f>VLOOKUP(B590,'Waste Lookups'!$B$1:$C$292,2,FALSE)</f>
        <v>#N/A</v>
      </c>
      <c r="D590" s="84">
        <v>0</v>
      </c>
      <c r="E590" s="84">
        <v>0</v>
      </c>
      <c r="F590" s="84">
        <v>0</v>
      </c>
      <c r="G590" s="84">
        <v>0</v>
      </c>
      <c r="H590" s="84">
        <v>0</v>
      </c>
      <c r="I590" s="84"/>
      <c r="J590" s="84">
        <v>0</v>
      </c>
      <c r="K590" s="84">
        <v>0</v>
      </c>
      <c r="L590" s="84">
        <v>0</v>
      </c>
      <c r="M590" s="84">
        <v>0</v>
      </c>
      <c r="N590" s="84">
        <v>0</v>
      </c>
    </row>
    <row r="591" spans="1:14" x14ac:dyDescent="0.25">
      <c r="A591" s="74" t="s">
        <v>1949</v>
      </c>
      <c r="B591" s="74">
        <v>4001</v>
      </c>
      <c r="C591" t="e">
        <f>VLOOKUP(B591,'Waste Lookups'!$B$1:$C$292,2,FALSE)</f>
        <v>#N/A</v>
      </c>
      <c r="D591" s="84">
        <v>0</v>
      </c>
      <c r="E591" s="84">
        <v>0</v>
      </c>
      <c r="F591" s="84">
        <v>0</v>
      </c>
      <c r="G591" s="84">
        <v>0</v>
      </c>
      <c r="H591" s="84">
        <v>0</v>
      </c>
      <c r="I591" s="84"/>
      <c r="J591" s="84">
        <v>0</v>
      </c>
      <c r="K591" s="84">
        <v>0</v>
      </c>
      <c r="L591" s="84">
        <v>0</v>
      </c>
      <c r="M591" s="84">
        <v>0</v>
      </c>
      <c r="N591" s="84">
        <v>0</v>
      </c>
    </row>
    <row r="592" spans="1:14" x14ac:dyDescent="0.25">
      <c r="A592" s="74" t="s">
        <v>1951</v>
      </c>
      <c r="B592" s="74">
        <v>4002</v>
      </c>
      <c r="C592" t="e">
        <f>VLOOKUP(B592,'Waste Lookups'!$B$1:$C$292,2,FALSE)</f>
        <v>#N/A</v>
      </c>
      <c r="D592" s="84">
        <v>1716.1636363636364</v>
      </c>
      <c r="E592" s="84">
        <v>2680.9636363636364</v>
      </c>
      <c r="F592" s="84">
        <v>0</v>
      </c>
      <c r="G592" s="84">
        <v>0</v>
      </c>
      <c r="H592" s="84">
        <v>0</v>
      </c>
      <c r="I592" s="84"/>
      <c r="J592" s="84">
        <v>2366.0789539037887</v>
      </c>
      <c r="K592" s="84">
        <v>3696.2510460962117</v>
      </c>
      <c r="L592" s="84">
        <v>0</v>
      </c>
      <c r="M592" s="84">
        <v>0</v>
      </c>
      <c r="N592" s="84">
        <v>0</v>
      </c>
    </row>
    <row r="593" spans="1:14" x14ac:dyDescent="0.25">
      <c r="A593" s="74" t="s">
        <v>1953</v>
      </c>
      <c r="B593" s="74">
        <v>4003</v>
      </c>
      <c r="C593" t="e">
        <f>VLOOKUP(B593,'Waste Lookups'!$B$1:$C$292,2,FALSE)</f>
        <v>#N/A</v>
      </c>
      <c r="D593" s="84">
        <v>1626.9927272727273</v>
      </c>
      <c r="E593" s="84">
        <v>4466.6400000000003</v>
      </c>
      <c r="F593" s="84">
        <v>0</v>
      </c>
      <c r="G593" s="84">
        <v>0</v>
      </c>
      <c r="H593" s="84">
        <v>0</v>
      </c>
      <c r="I593" s="84"/>
      <c r="J593" s="84">
        <v>462.36185079030332</v>
      </c>
      <c r="K593" s="84">
        <v>1269.3381492096967</v>
      </c>
      <c r="L593" s="84">
        <v>0</v>
      </c>
      <c r="M593" s="84">
        <v>0</v>
      </c>
      <c r="N593" s="84">
        <v>0</v>
      </c>
    </row>
    <row r="594" spans="1:14" x14ac:dyDescent="0.25">
      <c r="A594" s="74" t="s">
        <v>1955</v>
      </c>
      <c r="B594" s="74">
        <v>4005</v>
      </c>
      <c r="C594" t="e">
        <f>VLOOKUP(B594,'Waste Lookups'!$B$1:$C$292,2,FALSE)</f>
        <v>#N/A</v>
      </c>
      <c r="D594" s="84">
        <v>610.09090909090901</v>
      </c>
      <c r="E594" s="84">
        <v>432</v>
      </c>
      <c r="F594" s="84">
        <v>0</v>
      </c>
      <c r="G594" s="84">
        <v>0</v>
      </c>
      <c r="H594" s="84">
        <v>298.79999999999995</v>
      </c>
      <c r="I594" s="84"/>
      <c r="J594" s="84">
        <v>675.15395395191797</v>
      </c>
      <c r="K594" s="84">
        <v>478.07056909246222</v>
      </c>
      <c r="L594" s="84">
        <v>0</v>
      </c>
      <c r="M594" s="84">
        <v>0</v>
      </c>
      <c r="N594" s="84">
        <v>330.66547695561968</v>
      </c>
    </row>
    <row r="595" spans="1:14" x14ac:dyDescent="0.25">
      <c r="A595" s="74" t="s">
        <v>1957</v>
      </c>
      <c r="B595" s="74">
        <v>4007</v>
      </c>
      <c r="C595" t="e">
        <f>VLOOKUP(B595,'Waste Lookups'!$B$1:$C$292,2,FALSE)</f>
        <v>#N/A</v>
      </c>
      <c r="D595" s="84">
        <v>0</v>
      </c>
      <c r="E595" s="84">
        <v>432</v>
      </c>
      <c r="F595" s="84">
        <v>0</v>
      </c>
      <c r="G595" s="84">
        <v>0</v>
      </c>
      <c r="H595" s="84">
        <v>370.79999999999995</v>
      </c>
      <c r="I595" s="84"/>
      <c r="J595" s="84">
        <v>0</v>
      </c>
      <c r="K595" s="84">
        <v>1283.5426008968609</v>
      </c>
      <c r="L595" s="84">
        <v>0</v>
      </c>
      <c r="M595" s="84">
        <v>0</v>
      </c>
      <c r="N595" s="84">
        <v>1101.7073991031389</v>
      </c>
    </row>
    <row r="596" spans="1:14" x14ac:dyDescent="0.25">
      <c r="A596" s="74" t="s">
        <v>1959</v>
      </c>
      <c r="B596" s="74">
        <v>4026</v>
      </c>
      <c r="C596" t="e">
        <f>VLOOKUP(B596,'Waste Lookups'!$B$1:$C$292,2,FALSE)</f>
        <v>#N/A</v>
      </c>
      <c r="D596" s="84">
        <v>0</v>
      </c>
      <c r="E596" s="84">
        <v>813.68727272727278</v>
      </c>
      <c r="F596" s="84">
        <v>0</v>
      </c>
      <c r="G596" s="84">
        <v>368.44363636363636</v>
      </c>
      <c r="H596" s="84">
        <v>0</v>
      </c>
      <c r="I596" s="84"/>
      <c r="J596" s="84">
        <v>0</v>
      </c>
      <c r="K596" s="84">
        <v>621.72039201934251</v>
      </c>
      <c r="L596" s="84">
        <v>0</v>
      </c>
      <c r="M596" s="84">
        <v>281.51960798065744</v>
      </c>
      <c r="N596" s="84">
        <v>0</v>
      </c>
    </row>
    <row r="597" spans="1:14" x14ac:dyDescent="0.25">
      <c r="A597" s="74" t="s">
        <v>1961</v>
      </c>
      <c r="B597" s="74">
        <v>4028</v>
      </c>
      <c r="C597" t="e">
        <f>VLOOKUP(B597,'Waste Lookups'!$B$1:$C$292,2,FALSE)</f>
        <v>#N/A</v>
      </c>
      <c r="D597" s="84">
        <v>523.73454545454547</v>
      </c>
      <c r="E597" s="84">
        <v>64.527272727272731</v>
      </c>
      <c r="F597" s="84">
        <v>0</v>
      </c>
      <c r="G597" s="84">
        <v>0</v>
      </c>
      <c r="H597" s="84">
        <v>0</v>
      </c>
      <c r="I597" s="84"/>
      <c r="J597" s="84">
        <v>2237.2653399228543</v>
      </c>
      <c r="K597" s="84">
        <v>275.6446600771456</v>
      </c>
      <c r="L597" s="84">
        <v>0</v>
      </c>
      <c r="M597" s="84">
        <v>0</v>
      </c>
      <c r="N597" s="84">
        <v>0</v>
      </c>
    </row>
    <row r="598" spans="1:14" x14ac:dyDescent="0.25">
      <c r="A598" s="74" t="s">
        <v>1963</v>
      </c>
      <c r="B598" s="74">
        <v>4030</v>
      </c>
      <c r="C598" t="e">
        <f>VLOOKUP(B598,'Waste Lookups'!$B$1:$C$292,2,FALSE)</f>
        <v>#N/A</v>
      </c>
      <c r="D598" s="84">
        <v>503.37818181818182</v>
      </c>
      <c r="E598" s="84">
        <v>73.745454545454535</v>
      </c>
      <c r="F598" s="84">
        <v>0</v>
      </c>
      <c r="G598" s="84">
        <v>0</v>
      </c>
      <c r="H598" s="84">
        <v>0</v>
      </c>
      <c r="I598" s="84"/>
      <c r="J598" s="84">
        <v>2001.5419184167249</v>
      </c>
      <c r="K598" s="84">
        <v>293.22808158327501</v>
      </c>
      <c r="L598" s="84">
        <v>0</v>
      </c>
      <c r="M598" s="84">
        <v>0</v>
      </c>
      <c r="N598" s="84">
        <v>0</v>
      </c>
    </row>
    <row r="599" spans="1:14" x14ac:dyDescent="0.25">
      <c r="A599" s="74" t="s">
        <v>1965</v>
      </c>
      <c r="B599" s="74">
        <v>4032</v>
      </c>
      <c r="C599" t="e">
        <f>VLOOKUP(B599,'Waste Lookups'!$B$1:$C$292,2,FALSE)</f>
        <v>#N/A</v>
      </c>
      <c r="D599" s="84">
        <v>1349.8254545454545</v>
      </c>
      <c r="E599" s="84">
        <v>239.67272727272729</v>
      </c>
      <c r="F599" s="84">
        <v>0</v>
      </c>
      <c r="G599" s="84">
        <v>0</v>
      </c>
      <c r="H599" s="84">
        <v>0</v>
      </c>
      <c r="I599" s="84"/>
      <c r="J599" s="84">
        <v>3984.567012847966</v>
      </c>
      <c r="K599" s="84">
        <v>707.4929871520344</v>
      </c>
      <c r="L599" s="84">
        <v>0</v>
      </c>
      <c r="M599" s="84">
        <v>0</v>
      </c>
      <c r="N599" s="84">
        <v>0</v>
      </c>
    </row>
    <row r="600" spans="1:14" x14ac:dyDescent="0.25">
      <c r="A600" s="74" t="s">
        <v>1967</v>
      </c>
      <c r="B600" s="74">
        <v>4033</v>
      </c>
      <c r="C600" t="e">
        <f>VLOOKUP(B600,'Waste Lookups'!$B$1:$C$292,2,FALSE)</f>
        <v>#N/A</v>
      </c>
      <c r="D600" s="84">
        <v>246.13090909090909</v>
      </c>
      <c r="E600" s="84">
        <v>64.527272727272731</v>
      </c>
      <c r="F600" s="84">
        <v>0</v>
      </c>
      <c r="G600" s="84">
        <v>0</v>
      </c>
      <c r="H600" s="84">
        <v>0</v>
      </c>
      <c r="I600" s="84"/>
      <c r="J600" s="84">
        <v>960.23783263686494</v>
      </c>
      <c r="K600" s="84">
        <v>251.7421673631352</v>
      </c>
      <c r="L600" s="84">
        <v>0</v>
      </c>
      <c r="M600" s="84">
        <v>0</v>
      </c>
      <c r="N600" s="84">
        <v>0</v>
      </c>
    </row>
    <row r="601" spans="1:14" x14ac:dyDescent="0.25">
      <c r="A601" s="74" t="s">
        <v>1969</v>
      </c>
      <c r="B601" s="74">
        <v>4036</v>
      </c>
      <c r="C601" t="e">
        <f>VLOOKUP(B601,'Waste Lookups'!$B$1:$C$292,2,FALSE)</f>
        <v>#N/A</v>
      </c>
      <c r="D601" s="84">
        <v>291.02181818181816</v>
      </c>
      <c r="E601" s="84">
        <v>0</v>
      </c>
      <c r="F601" s="84">
        <v>0</v>
      </c>
      <c r="G601" s="84">
        <v>0</v>
      </c>
      <c r="H601" s="84">
        <v>0</v>
      </c>
      <c r="I601" s="84"/>
      <c r="J601" s="84">
        <v>538.48</v>
      </c>
      <c r="K601" s="84">
        <v>0</v>
      </c>
      <c r="L601" s="84">
        <v>0</v>
      </c>
      <c r="M601" s="84">
        <v>0</v>
      </c>
      <c r="N601" s="84">
        <v>0</v>
      </c>
    </row>
    <row r="602" spans="1:14" x14ac:dyDescent="0.25">
      <c r="A602" s="74" t="s">
        <v>1971</v>
      </c>
      <c r="B602" s="74">
        <v>4040</v>
      </c>
      <c r="C602" t="e">
        <f>VLOOKUP(B602,'Waste Lookups'!$B$1:$C$292,2,FALSE)</f>
        <v>#N/A</v>
      </c>
      <c r="D602" s="84">
        <v>593.37818181818182</v>
      </c>
      <c r="E602" s="84">
        <v>2897.9563636363637</v>
      </c>
      <c r="F602" s="84">
        <v>0</v>
      </c>
      <c r="G602" s="84">
        <v>386.44363636363636</v>
      </c>
      <c r="H602" s="84">
        <v>0</v>
      </c>
      <c r="I602" s="84"/>
      <c r="J602" s="84">
        <v>557.75537015104237</v>
      </c>
      <c r="K602" s="84">
        <v>2723.9807155175081</v>
      </c>
      <c r="L602" s="84">
        <v>0</v>
      </c>
      <c r="M602" s="84">
        <v>363.24391433144939</v>
      </c>
      <c r="N602" s="84">
        <v>0</v>
      </c>
    </row>
    <row r="603" spans="1:14" x14ac:dyDescent="0.25">
      <c r="A603" s="74" t="s">
        <v>1973</v>
      </c>
      <c r="B603" s="74">
        <v>4041</v>
      </c>
      <c r="C603" t="e">
        <f>VLOOKUP(B603,'Waste Lookups'!$B$1:$C$292,2,FALSE)</f>
        <v>#N/A</v>
      </c>
      <c r="D603" s="84">
        <v>543.31636363636369</v>
      </c>
      <c r="E603" s="84">
        <v>2246.6945454545453</v>
      </c>
      <c r="F603" s="84">
        <v>0</v>
      </c>
      <c r="G603" s="84">
        <v>73.178181818181812</v>
      </c>
      <c r="H603" s="84">
        <v>0</v>
      </c>
      <c r="I603" s="84"/>
      <c r="J603" s="84">
        <v>468.42049234356614</v>
      </c>
      <c r="K603" s="84">
        <v>1936.9888992185445</v>
      </c>
      <c r="L603" s="84">
        <v>0</v>
      </c>
      <c r="M603" s="84">
        <v>63.090608437889351</v>
      </c>
      <c r="N603" s="84">
        <v>0</v>
      </c>
    </row>
    <row r="604" spans="1:14" x14ac:dyDescent="0.25">
      <c r="A604" s="74" t="s">
        <v>1975</v>
      </c>
      <c r="B604" s="74">
        <v>4042</v>
      </c>
      <c r="C604" t="e">
        <f>VLOOKUP(B604,'Waste Lookups'!$B$1:$C$292,2,FALSE)</f>
        <v>#N/A</v>
      </c>
      <c r="D604" s="84">
        <v>555.70909090909083</v>
      </c>
      <c r="E604" s="84">
        <v>220.66909090909093</v>
      </c>
      <c r="F604" s="84">
        <v>0</v>
      </c>
      <c r="G604" s="84">
        <v>460.62545454545455</v>
      </c>
      <c r="H604" s="84">
        <v>0</v>
      </c>
      <c r="I604" s="84"/>
      <c r="J604" s="84">
        <v>710.12404931564822</v>
      </c>
      <c r="K604" s="84">
        <v>281.9864403132496</v>
      </c>
      <c r="L604" s="84">
        <v>0</v>
      </c>
      <c r="M604" s="84">
        <v>588.61951037110202</v>
      </c>
      <c r="N604" s="84">
        <v>0</v>
      </c>
    </row>
    <row r="605" spans="1:14" x14ac:dyDescent="0.25">
      <c r="A605" s="74" t="s">
        <v>1977</v>
      </c>
      <c r="B605" s="74">
        <v>4044</v>
      </c>
      <c r="C605" t="e">
        <f>VLOOKUP(B605,'Waste Lookups'!$B$1:$C$292,2,FALSE)</f>
        <v>#N/A</v>
      </c>
      <c r="D605" s="84">
        <v>45.534545454545459</v>
      </c>
      <c r="E605" s="84">
        <v>99.556363636363642</v>
      </c>
      <c r="F605" s="84">
        <v>0</v>
      </c>
      <c r="G605" s="84">
        <v>0</v>
      </c>
      <c r="H605" s="84">
        <v>0</v>
      </c>
      <c r="I605" s="84"/>
      <c r="J605" s="84">
        <v>577.31755187969918</v>
      </c>
      <c r="K605" s="84">
        <v>1262.2424481203009</v>
      </c>
      <c r="L605" s="84">
        <v>0</v>
      </c>
      <c r="M605" s="84">
        <v>0</v>
      </c>
      <c r="N605" s="84">
        <v>0</v>
      </c>
    </row>
    <row r="606" spans="1:14" x14ac:dyDescent="0.25">
      <c r="A606" s="74" t="s">
        <v>1979</v>
      </c>
      <c r="B606" s="74">
        <v>4045</v>
      </c>
      <c r="C606" t="e">
        <f>VLOOKUP(B606,'Waste Lookups'!$B$1:$C$292,2,FALSE)</f>
        <v>#N/A</v>
      </c>
      <c r="D606" s="84">
        <v>719.88</v>
      </c>
      <c r="E606" s="84">
        <v>147.49090909090907</v>
      </c>
      <c r="F606" s="84">
        <v>0</v>
      </c>
      <c r="G606" s="84">
        <v>0</v>
      </c>
      <c r="H606" s="84">
        <v>0</v>
      </c>
      <c r="I606" s="84"/>
      <c r="J606" s="84">
        <v>2780.3703955527048</v>
      </c>
      <c r="K606" s="84">
        <v>569.64960444729525</v>
      </c>
      <c r="L606" s="84">
        <v>0</v>
      </c>
      <c r="M606" s="84">
        <v>0</v>
      </c>
      <c r="N606" s="84">
        <v>0</v>
      </c>
    </row>
    <row r="607" spans="1:14" x14ac:dyDescent="0.25">
      <c r="A607" s="74" t="s">
        <v>1981</v>
      </c>
      <c r="B607" s="74">
        <v>4046</v>
      </c>
      <c r="C607" t="e">
        <f>VLOOKUP(B607,'Waste Lookups'!$B$1:$C$292,2,FALSE)</f>
        <v>#N/A</v>
      </c>
      <c r="D607" s="84">
        <v>997.35272727272718</v>
      </c>
      <c r="E607" s="84">
        <v>212.0181818181818</v>
      </c>
      <c r="F607" s="84">
        <v>0</v>
      </c>
      <c r="G607" s="84">
        <v>0</v>
      </c>
      <c r="H607" s="84">
        <v>0</v>
      </c>
      <c r="I607" s="84"/>
      <c r="J607" s="84">
        <v>3173.8994636430057</v>
      </c>
      <c r="K607" s="84">
        <v>674.710536356994</v>
      </c>
      <c r="L607" s="84">
        <v>0</v>
      </c>
      <c r="M607" s="84">
        <v>0</v>
      </c>
      <c r="N607" s="84">
        <v>0</v>
      </c>
    </row>
    <row r="608" spans="1:14" x14ac:dyDescent="0.25">
      <c r="A608" s="74" t="s">
        <v>1983</v>
      </c>
      <c r="B608" s="74">
        <v>4047</v>
      </c>
      <c r="C608" t="e">
        <f>VLOOKUP(B608,'Waste Lookups'!$B$1:$C$292,2,FALSE)</f>
        <v>#N/A</v>
      </c>
      <c r="D608" s="84">
        <v>376.79999999999995</v>
      </c>
      <c r="E608" s="84">
        <v>2325.9163636363637</v>
      </c>
      <c r="F608" s="84">
        <v>0</v>
      </c>
      <c r="G608" s="84">
        <v>0</v>
      </c>
      <c r="H608" s="84">
        <v>0</v>
      </c>
      <c r="I608" s="84"/>
      <c r="J608" s="84">
        <v>258.19015616611972</v>
      </c>
      <c r="K608" s="84">
        <v>1593.75984383388</v>
      </c>
      <c r="L608" s="84">
        <v>0</v>
      </c>
      <c r="M608" s="84">
        <v>0</v>
      </c>
      <c r="N608" s="84">
        <v>0</v>
      </c>
    </row>
    <row r="609" spans="1:14" x14ac:dyDescent="0.25">
      <c r="A609" s="74" t="s">
        <v>1985</v>
      </c>
      <c r="B609" s="74">
        <v>4048</v>
      </c>
      <c r="C609" t="e">
        <f>VLOOKUP(B609,'Waste Lookups'!$B$1:$C$292,2,FALSE)</f>
        <v>#N/A</v>
      </c>
      <c r="D609" s="84">
        <v>717.69818181818175</v>
      </c>
      <c r="E609" s="84">
        <v>609.71999999999991</v>
      </c>
      <c r="F609" s="84">
        <v>0</v>
      </c>
      <c r="G609" s="84">
        <v>0</v>
      </c>
      <c r="H609" s="84">
        <v>0</v>
      </c>
      <c r="I609" s="84"/>
      <c r="J609" s="84">
        <v>613.0844902202499</v>
      </c>
      <c r="K609" s="84">
        <v>520.84550977975016</v>
      </c>
      <c r="L609" s="84">
        <v>0</v>
      </c>
      <c r="M609" s="84">
        <v>0</v>
      </c>
      <c r="N609" s="84">
        <v>0</v>
      </c>
    </row>
    <row r="610" spans="1:14" x14ac:dyDescent="0.25">
      <c r="A610" s="74" t="s">
        <v>1987</v>
      </c>
      <c r="B610" s="74">
        <v>4049</v>
      </c>
      <c r="C610" t="e">
        <f>VLOOKUP(B610,'Waste Lookups'!$B$1:$C$292,2,FALSE)</f>
        <v>#N/A</v>
      </c>
      <c r="D610" s="84">
        <v>999.70909090909095</v>
      </c>
      <c r="E610" s="84">
        <v>3491.8581818181815</v>
      </c>
      <c r="F610" s="84">
        <v>0</v>
      </c>
      <c r="G610" s="84">
        <v>78.807272727272718</v>
      </c>
      <c r="H610" s="84">
        <v>0</v>
      </c>
      <c r="I610" s="84"/>
      <c r="J610" s="84">
        <v>1101.2654043074251</v>
      </c>
      <c r="K610" s="84">
        <v>3846.5816179457743</v>
      </c>
      <c r="L610" s="84">
        <v>0</v>
      </c>
      <c r="M610" s="84">
        <v>86.812977746800925</v>
      </c>
      <c r="N610" s="84">
        <v>0</v>
      </c>
    </row>
    <row r="611" spans="1:14" x14ac:dyDescent="0.25">
      <c r="A611" s="74" t="s">
        <v>1989</v>
      </c>
      <c r="B611" s="74">
        <v>4050</v>
      </c>
      <c r="C611" t="e">
        <f>VLOOKUP(B611,'Waste Lookups'!$B$1:$C$292,2,FALSE)</f>
        <v>#N/A</v>
      </c>
      <c r="D611" s="84">
        <v>449.24727272727273</v>
      </c>
      <c r="E611" s="84">
        <v>73.745454545454535</v>
      </c>
      <c r="F611" s="84">
        <v>0</v>
      </c>
      <c r="G611" s="84">
        <v>0</v>
      </c>
      <c r="H611" s="84">
        <v>0</v>
      </c>
      <c r="I611" s="84"/>
      <c r="J611" s="84">
        <v>1970.3847068271416</v>
      </c>
      <c r="K611" s="84">
        <v>323.44529317285827</v>
      </c>
      <c r="L611" s="84">
        <v>0</v>
      </c>
      <c r="M611" s="84">
        <v>0</v>
      </c>
      <c r="N611" s="84">
        <v>0</v>
      </c>
    </row>
    <row r="612" spans="1:14" x14ac:dyDescent="0.25">
      <c r="A612" s="74" t="s">
        <v>1991</v>
      </c>
      <c r="B612" s="74">
        <v>4052</v>
      </c>
      <c r="C612" t="e">
        <f>VLOOKUP(B612,'Waste Lookups'!$B$1:$C$292,2,FALSE)</f>
        <v>#N/A</v>
      </c>
      <c r="D612" s="84">
        <v>677.55272727272734</v>
      </c>
      <c r="E612" s="84">
        <v>112.30909090909091</v>
      </c>
      <c r="F612" s="84">
        <v>0</v>
      </c>
      <c r="G612" s="84">
        <v>0</v>
      </c>
      <c r="H612" s="84">
        <v>0</v>
      </c>
      <c r="I612" s="84"/>
      <c r="J612" s="84">
        <v>2291.8241587481352</v>
      </c>
      <c r="K612" s="84">
        <v>379.88584125186452</v>
      </c>
      <c r="L612" s="84">
        <v>0</v>
      </c>
      <c r="M612" s="84">
        <v>0</v>
      </c>
      <c r="N612" s="84">
        <v>0</v>
      </c>
    </row>
    <row r="613" spans="1:14" x14ac:dyDescent="0.25">
      <c r="A613" s="74" t="s">
        <v>1993</v>
      </c>
      <c r="B613" s="74">
        <v>4053</v>
      </c>
      <c r="C613" t="e">
        <f>VLOOKUP(B613,'Waste Lookups'!$B$1:$C$292,2,FALSE)</f>
        <v>#N/A</v>
      </c>
      <c r="D613" s="84">
        <v>1042.4836363636364</v>
      </c>
      <c r="E613" s="84">
        <v>58.058181818181815</v>
      </c>
      <c r="F613" s="84">
        <v>0</v>
      </c>
      <c r="G613" s="84">
        <v>0</v>
      </c>
      <c r="H613" s="84">
        <v>0</v>
      </c>
      <c r="I613" s="84"/>
      <c r="J613" s="84">
        <v>1049.7283446170318</v>
      </c>
      <c r="K613" s="84">
        <v>58.461655382968388</v>
      </c>
      <c r="L613" s="84">
        <v>0</v>
      </c>
      <c r="M613" s="84">
        <v>0</v>
      </c>
      <c r="N613" s="84">
        <v>0</v>
      </c>
    </row>
    <row r="614" spans="1:14" x14ac:dyDescent="0.25">
      <c r="A614" s="74" t="s">
        <v>1995</v>
      </c>
      <c r="B614" s="74">
        <v>4054</v>
      </c>
      <c r="C614" t="e">
        <f>VLOOKUP(B614,'Waste Lookups'!$B$1:$C$292,2,FALSE)</f>
        <v>#N/A</v>
      </c>
      <c r="D614" s="84">
        <v>0</v>
      </c>
      <c r="E614" s="84">
        <v>70.680000000000007</v>
      </c>
      <c r="F614" s="84">
        <v>0</v>
      </c>
      <c r="G614" s="84">
        <v>0</v>
      </c>
      <c r="H614" s="84">
        <v>0</v>
      </c>
      <c r="I614" s="84"/>
      <c r="J614" s="84">
        <v>0</v>
      </c>
      <c r="K614" s="84">
        <v>936.11</v>
      </c>
      <c r="L614" s="84">
        <v>0</v>
      </c>
      <c r="M614" s="84">
        <v>0</v>
      </c>
      <c r="N614" s="84">
        <v>0</v>
      </c>
    </row>
    <row r="615" spans="1:14" x14ac:dyDescent="0.25">
      <c r="A615" s="74" t="s">
        <v>1997</v>
      </c>
      <c r="B615" s="74">
        <v>4055</v>
      </c>
      <c r="C615" t="e">
        <f>VLOOKUP(B615,'Waste Lookups'!$B$1:$C$292,2,FALSE)</f>
        <v>#N/A</v>
      </c>
      <c r="D615" s="84">
        <v>1175.2472727272727</v>
      </c>
      <c r="E615" s="84">
        <v>270.81818181818181</v>
      </c>
      <c r="F615" s="84">
        <v>0</v>
      </c>
      <c r="G615" s="84">
        <v>0</v>
      </c>
      <c r="H615" s="84">
        <v>0</v>
      </c>
      <c r="I615" s="84"/>
      <c r="J615" s="84">
        <v>4226.3750013579165</v>
      </c>
      <c r="K615" s="84">
        <v>973.90499864208334</v>
      </c>
      <c r="L615" s="84">
        <v>0</v>
      </c>
      <c r="M615" s="84">
        <v>0</v>
      </c>
      <c r="N615" s="84">
        <v>0</v>
      </c>
    </row>
    <row r="616" spans="1:14" x14ac:dyDescent="0.25">
      <c r="A616" s="74" t="s">
        <v>1999</v>
      </c>
      <c r="B616" s="74">
        <v>4057</v>
      </c>
      <c r="C616" t="e">
        <f>VLOOKUP(B616,'Waste Lookups'!$B$1:$C$292,2,FALSE)</f>
        <v>#N/A</v>
      </c>
      <c r="D616" s="84">
        <v>661.00363636363636</v>
      </c>
      <c r="E616" s="84">
        <v>2717.6290909090908</v>
      </c>
      <c r="F616" s="84">
        <v>0</v>
      </c>
      <c r="G616" s="84">
        <v>146.35636363636362</v>
      </c>
      <c r="H616" s="84">
        <v>0</v>
      </c>
      <c r="I616" s="84"/>
      <c r="J616" s="84">
        <v>708.53058417202067</v>
      </c>
      <c r="K616" s="84">
        <v>2913.0298555353361</v>
      </c>
      <c r="L616" s="84">
        <v>0</v>
      </c>
      <c r="M616" s="84">
        <v>156.87956029264308</v>
      </c>
      <c r="N616" s="84">
        <v>0</v>
      </c>
    </row>
    <row r="617" spans="1:14" x14ac:dyDescent="0.25">
      <c r="A617" s="74" t="s">
        <v>757</v>
      </c>
      <c r="B617" s="74">
        <v>4058</v>
      </c>
      <c r="C617" t="str">
        <f>VLOOKUP(B617,'Waste Lookups'!$B$1:$C$292,2,FALSE)</f>
        <v>Wilberforce Court Suite 1</v>
      </c>
      <c r="D617" s="84">
        <v>1940.9672727272728</v>
      </c>
      <c r="E617" s="84">
        <v>398.4763636363636</v>
      </c>
      <c r="F617" s="84">
        <v>0</v>
      </c>
      <c r="G617" s="84">
        <v>0</v>
      </c>
      <c r="H617" s="84">
        <v>0</v>
      </c>
      <c r="I617" s="84"/>
      <c r="J617" s="84">
        <v>5964.1441626680471</v>
      </c>
      <c r="K617" s="84">
        <v>1224.4258373319531</v>
      </c>
      <c r="L617" s="84">
        <v>0</v>
      </c>
      <c r="M617" s="84">
        <v>0</v>
      </c>
      <c r="N617" s="84">
        <v>0</v>
      </c>
    </row>
    <row r="618" spans="1:14" x14ac:dyDescent="0.25">
      <c r="A618" s="74" t="s">
        <v>2002</v>
      </c>
      <c r="B618" s="74">
        <v>4077</v>
      </c>
      <c r="C618" t="e">
        <f>VLOOKUP(B618,'Waste Lookups'!$B$1:$C$292,2,FALSE)</f>
        <v>#N/A</v>
      </c>
      <c r="D618" s="84">
        <v>558.10909090909092</v>
      </c>
      <c r="E618" s="84">
        <v>1653.7090909090909</v>
      </c>
      <c r="F618" s="84">
        <v>43.2</v>
      </c>
      <c r="G618" s="84">
        <v>0</v>
      </c>
      <c r="H618" s="84">
        <v>0</v>
      </c>
      <c r="I618" s="84"/>
      <c r="J618" s="84">
        <v>679.35807266218376</v>
      </c>
      <c r="K618" s="84">
        <v>2012.9767442310483</v>
      </c>
      <c r="L618" s="84">
        <v>52.585183106767936</v>
      </c>
      <c r="M618" s="84">
        <v>0</v>
      </c>
      <c r="N618" s="84">
        <v>0</v>
      </c>
    </row>
    <row r="619" spans="1:14" x14ac:dyDescent="0.25">
      <c r="A619" s="74" t="s">
        <v>2004</v>
      </c>
      <c r="B619" s="74">
        <v>4079</v>
      </c>
      <c r="C619" t="e">
        <f>VLOOKUP(B619,'Waste Lookups'!$B$1:$C$292,2,FALSE)</f>
        <v>#N/A</v>
      </c>
      <c r="D619" s="84">
        <v>0</v>
      </c>
      <c r="E619" s="84">
        <v>572.9454545454546</v>
      </c>
      <c r="F619" s="84">
        <v>0</v>
      </c>
      <c r="G619" s="84">
        <v>0</v>
      </c>
      <c r="H619" s="84">
        <v>0</v>
      </c>
      <c r="I619" s="84"/>
      <c r="J619" s="84">
        <v>0</v>
      </c>
      <c r="K619" s="84">
        <v>503.5</v>
      </c>
      <c r="L619" s="84">
        <v>0</v>
      </c>
      <c r="M619" s="84">
        <v>0</v>
      </c>
      <c r="N619" s="84">
        <v>0</v>
      </c>
    </row>
    <row r="620" spans="1:14" x14ac:dyDescent="0.25">
      <c r="A620" s="74" t="s">
        <v>725</v>
      </c>
      <c r="B620" s="74">
        <v>4080</v>
      </c>
      <c r="C620" t="str">
        <f>VLOOKUP(B620,'Waste Lookups'!$B$1:$C$292,2,FALSE)</f>
        <v>Health Place</v>
      </c>
      <c r="D620" s="84">
        <v>0</v>
      </c>
      <c r="E620" s="84">
        <v>4310.9563636363637</v>
      </c>
      <c r="F620" s="84">
        <v>0</v>
      </c>
      <c r="G620" s="84">
        <v>241.09090909090907</v>
      </c>
      <c r="H620" s="84">
        <v>0</v>
      </c>
      <c r="I620" s="84"/>
      <c r="J620" s="84">
        <v>0</v>
      </c>
      <c r="K620" s="84">
        <v>4651.9774341854582</v>
      </c>
      <c r="L620" s="84">
        <v>0</v>
      </c>
      <c r="M620" s="84">
        <v>260.16256581454257</v>
      </c>
      <c r="N620" s="84">
        <v>0</v>
      </c>
    </row>
    <row r="621" spans="1:14" x14ac:dyDescent="0.25">
      <c r="A621" s="74" t="s">
        <v>2007</v>
      </c>
      <c r="B621" s="74">
        <v>4081</v>
      </c>
      <c r="C621" t="e">
        <f>VLOOKUP(B621,'Waste Lookups'!$B$1:$C$292,2,FALSE)</f>
        <v>#N/A</v>
      </c>
      <c r="D621" s="84">
        <v>1347.72</v>
      </c>
      <c r="E621" s="84">
        <v>2769.5127272727273</v>
      </c>
      <c r="F621" s="84">
        <v>0</v>
      </c>
      <c r="G621" s="84">
        <v>0</v>
      </c>
      <c r="H621" s="84">
        <v>0</v>
      </c>
      <c r="I621" s="84"/>
      <c r="J621" s="84">
        <v>1879.5752351667802</v>
      </c>
      <c r="K621" s="84">
        <v>3862.45476483322</v>
      </c>
      <c r="L621" s="84">
        <v>0</v>
      </c>
      <c r="M621" s="84">
        <v>0</v>
      </c>
      <c r="N621" s="84">
        <v>0</v>
      </c>
    </row>
    <row r="622" spans="1:14" x14ac:dyDescent="0.25">
      <c r="A622" s="74" t="s">
        <v>2009</v>
      </c>
      <c r="B622" s="74">
        <v>4082</v>
      </c>
      <c r="C622" t="e">
        <f>VLOOKUP(B622,'Waste Lookups'!$B$1:$C$292,2,FALSE)</f>
        <v>#N/A</v>
      </c>
      <c r="D622" s="84">
        <v>0</v>
      </c>
      <c r="E622" s="84">
        <v>0</v>
      </c>
      <c r="F622" s="84">
        <v>0</v>
      </c>
      <c r="G622" s="84">
        <v>0</v>
      </c>
      <c r="H622" s="84">
        <v>0</v>
      </c>
      <c r="I622" s="84"/>
      <c r="J622" s="84">
        <v>0</v>
      </c>
      <c r="K622" s="84">
        <v>0</v>
      </c>
      <c r="L622" s="84">
        <v>0</v>
      </c>
      <c r="M622" s="84">
        <v>0</v>
      </c>
      <c r="N622" s="84">
        <v>0</v>
      </c>
    </row>
    <row r="623" spans="1:14" x14ac:dyDescent="0.25">
      <c r="A623" s="74" t="s">
        <v>2011</v>
      </c>
      <c r="B623" s="74">
        <v>4083</v>
      </c>
      <c r="C623" t="e">
        <f>VLOOKUP(B623,'Waste Lookups'!$B$1:$C$292,2,FALSE)</f>
        <v>#N/A</v>
      </c>
      <c r="D623" s="84">
        <v>0</v>
      </c>
      <c r="E623" s="84">
        <v>833.89090909090896</v>
      </c>
      <c r="F623" s="84">
        <v>0</v>
      </c>
      <c r="G623" s="84">
        <v>0</v>
      </c>
      <c r="H623" s="84">
        <v>0</v>
      </c>
      <c r="I623" s="84"/>
      <c r="J623" s="84">
        <v>0</v>
      </c>
      <c r="K623" s="84">
        <v>726.1</v>
      </c>
      <c r="L623" s="84">
        <v>0</v>
      </c>
      <c r="M623" s="84">
        <v>0</v>
      </c>
      <c r="N623" s="84">
        <v>0</v>
      </c>
    </row>
    <row r="624" spans="1:14" x14ac:dyDescent="0.25">
      <c r="A624" s="74" t="s">
        <v>2013</v>
      </c>
      <c r="B624" s="74">
        <v>4098</v>
      </c>
      <c r="C624" t="e">
        <f>VLOOKUP(B624,'Waste Lookups'!$B$1:$C$292,2,FALSE)</f>
        <v>#N/A</v>
      </c>
      <c r="D624" s="84">
        <v>0</v>
      </c>
      <c r="E624" s="84">
        <v>0</v>
      </c>
      <c r="F624" s="84">
        <v>0</v>
      </c>
      <c r="G624" s="84">
        <v>0</v>
      </c>
      <c r="H624" s="84">
        <v>0</v>
      </c>
      <c r="I624" s="84"/>
      <c r="J624" s="84">
        <v>0</v>
      </c>
      <c r="K624" s="84">
        <v>0</v>
      </c>
      <c r="L624" s="84">
        <v>0</v>
      </c>
      <c r="M624" s="84">
        <v>0</v>
      </c>
      <c r="N624" s="84">
        <v>0</v>
      </c>
    </row>
    <row r="625" spans="1:14" x14ac:dyDescent="0.25">
      <c r="A625" s="74" t="s">
        <v>2015</v>
      </c>
      <c r="B625" s="74">
        <v>4099</v>
      </c>
      <c r="C625" t="e">
        <f>VLOOKUP(B625,'Waste Lookups'!$B$1:$C$292,2,FALSE)</f>
        <v>#N/A</v>
      </c>
      <c r="D625" s="84">
        <v>0</v>
      </c>
      <c r="E625" s="84">
        <v>0</v>
      </c>
      <c r="F625" s="84">
        <v>0</v>
      </c>
      <c r="G625" s="84">
        <v>0</v>
      </c>
      <c r="H625" s="84">
        <v>0</v>
      </c>
      <c r="I625" s="84"/>
      <c r="J625" s="84">
        <v>0</v>
      </c>
      <c r="K625" s="84">
        <v>0</v>
      </c>
      <c r="L625" s="84">
        <v>0</v>
      </c>
      <c r="M625" s="84">
        <v>0</v>
      </c>
      <c r="N625" s="84">
        <v>0</v>
      </c>
    </row>
    <row r="626" spans="1:14" x14ac:dyDescent="0.25">
      <c r="A626" s="74" t="s">
        <v>724</v>
      </c>
      <c r="B626" s="74">
        <v>4101</v>
      </c>
      <c r="C626" t="str">
        <f>VLOOKUP(B626,'Waste Lookups'!$B$1:$C$292,2,FALSE)</f>
        <v>Health House</v>
      </c>
      <c r="D626" s="84">
        <v>0</v>
      </c>
      <c r="E626" s="84">
        <v>3308.2472727272725</v>
      </c>
      <c r="F626" s="84">
        <v>0</v>
      </c>
      <c r="G626" s="84">
        <v>0</v>
      </c>
      <c r="H626" s="84">
        <v>0</v>
      </c>
      <c r="I626" s="84"/>
      <c r="J626" s="84">
        <v>0</v>
      </c>
      <c r="K626" s="84">
        <v>5883.49</v>
      </c>
      <c r="L626" s="84">
        <v>0</v>
      </c>
      <c r="M626" s="84">
        <v>0</v>
      </c>
      <c r="N626" s="84">
        <v>0</v>
      </c>
    </row>
    <row r="627" spans="1:14" x14ac:dyDescent="0.25">
      <c r="A627" s="74" t="s">
        <v>2018</v>
      </c>
      <c r="B627" s="74">
        <v>4102</v>
      </c>
      <c r="C627" t="e">
        <f>VLOOKUP(B627,'Waste Lookups'!$B$1:$C$292,2,FALSE)</f>
        <v>#N/A</v>
      </c>
      <c r="D627" s="84">
        <v>0</v>
      </c>
      <c r="E627" s="84">
        <v>0</v>
      </c>
      <c r="F627" s="84">
        <v>0</v>
      </c>
      <c r="G627" s="84">
        <v>0</v>
      </c>
      <c r="H627" s="84">
        <v>0</v>
      </c>
      <c r="I627" s="84"/>
      <c r="J627" s="84">
        <v>0</v>
      </c>
      <c r="K627" s="84">
        <v>0</v>
      </c>
      <c r="L627" s="84">
        <v>0</v>
      </c>
      <c r="M627" s="84">
        <v>0</v>
      </c>
      <c r="N627" s="84">
        <v>0</v>
      </c>
    </row>
    <row r="628" spans="1:14" x14ac:dyDescent="0.25">
      <c r="A628" s="74" t="s">
        <v>2020</v>
      </c>
      <c r="B628" s="74">
        <v>4103</v>
      </c>
      <c r="C628" t="e">
        <f>VLOOKUP(B628,'Waste Lookups'!$B$1:$C$292,2,FALSE)</f>
        <v>#N/A</v>
      </c>
      <c r="D628" s="84">
        <v>0</v>
      </c>
      <c r="E628" s="84">
        <v>0</v>
      </c>
      <c r="F628" s="84">
        <v>0</v>
      </c>
      <c r="G628" s="84">
        <v>0</v>
      </c>
      <c r="H628" s="84">
        <v>0</v>
      </c>
      <c r="I628" s="84"/>
      <c r="J628" s="84">
        <v>0</v>
      </c>
      <c r="K628" s="84">
        <v>0</v>
      </c>
      <c r="L628" s="84">
        <v>0</v>
      </c>
      <c r="M628" s="84">
        <v>0</v>
      </c>
      <c r="N628" s="84">
        <v>0</v>
      </c>
    </row>
    <row r="629" spans="1:14" x14ac:dyDescent="0.25">
      <c r="A629" s="74" t="s">
        <v>2022</v>
      </c>
      <c r="B629" s="74">
        <v>4129</v>
      </c>
      <c r="C629" t="e">
        <f>VLOOKUP(B629,'Waste Lookups'!$B$1:$C$292,2,FALSE)</f>
        <v>#N/A</v>
      </c>
      <c r="D629" s="84">
        <v>2343.7090909090912</v>
      </c>
      <c r="E629" s="84">
        <v>883.81090909090904</v>
      </c>
      <c r="F629" s="84">
        <v>0</v>
      </c>
      <c r="G629" s="84">
        <v>0</v>
      </c>
      <c r="H629" s="84">
        <v>0</v>
      </c>
      <c r="I629" s="84"/>
      <c r="J629" s="84">
        <v>1359.7277161862528</v>
      </c>
      <c r="K629" s="84">
        <v>512.75228381374723</v>
      </c>
      <c r="L629" s="84">
        <v>0</v>
      </c>
      <c r="M629" s="84">
        <v>0</v>
      </c>
      <c r="N629" s="84">
        <v>0</v>
      </c>
    </row>
    <row r="630" spans="1:14" x14ac:dyDescent="0.25">
      <c r="A630" s="74" t="s">
        <v>2024</v>
      </c>
      <c r="B630" s="74">
        <v>4132</v>
      </c>
      <c r="C630" t="e">
        <f>VLOOKUP(B630,'Waste Lookups'!$B$1:$C$292,2,FALSE)</f>
        <v>#N/A</v>
      </c>
      <c r="D630" s="84">
        <v>901.02545454545464</v>
      </c>
      <c r="E630" s="84">
        <v>751.35272727272729</v>
      </c>
      <c r="F630" s="84">
        <v>0</v>
      </c>
      <c r="G630" s="84">
        <v>0</v>
      </c>
      <c r="H630" s="84">
        <v>0</v>
      </c>
      <c r="I630" s="84"/>
      <c r="J630" s="84">
        <v>466.99734254099872</v>
      </c>
      <c r="K630" s="84">
        <v>389.42265745900124</v>
      </c>
      <c r="L630" s="84">
        <v>0</v>
      </c>
      <c r="M630" s="84">
        <v>0</v>
      </c>
      <c r="N630" s="84">
        <v>0</v>
      </c>
    </row>
    <row r="631" spans="1:14" x14ac:dyDescent="0.25">
      <c r="A631" s="74" t="s">
        <v>2026</v>
      </c>
      <c r="B631" s="74">
        <v>4139</v>
      </c>
      <c r="C631" t="e">
        <f>VLOOKUP(B631,'Waste Lookups'!$B$1:$C$292,2,FALSE)</f>
        <v>#N/A</v>
      </c>
      <c r="D631" s="84">
        <v>0</v>
      </c>
      <c r="E631" s="84">
        <v>876.68727272727278</v>
      </c>
      <c r="F631" s="84">
        <v>0</v>
      </c>
      <c r="G631" s="84">
        <v>0</v>
      </c>
      <c r="H631" s="84">
        <v>39.272727272727273</v>
      </c>
      <c r="I631" s="84"/>
      <c r="J631" s="84">
        <v>0</v>
      </c>
      <c r="K631" s="84">
        <v>348.20170074913955</v>
      </c>
      <c r="L631" s="84">
        <v>0</v>
      </c>
      <c r="M631" s="84">
        <v>0</v>
      </c>
      <c r="N631" s="84">
        <v>15.598299250860499</v>
      </c>
    </row>
    <row r="632" spans="1:14" x14ac:dyDescent="0.25">
      <c r="A632" s="74" t="s">
        <v>2028</v>
      </c>
      <c r="B632" s="74">
        <v>4140</v>
      </c>
      <c r="C632" t="e">
        <f>VLOOKUP(B632,'Waste Lookups'!$B$1:$C$292,2,FALSE)</f>
        <v>#N/A</v>
      </c>
      <c r="D632" s="84">
        <v>503.18181818181813</v>
      </c>
      <c r="E632" s="84">
        <v>0</v>
      </c>
      <c r="F632" s="84">
        <v>392.23636363636365</v>
      </c>
      <c r="G632" s="84">
        <v>0</v>
      </c>
      <c r="H632" s="84">
        <v>0</v>
      </c>
      <c r="I632" s="84"/>
      <c r="J632" s="84">
        <v>573.45490679824559</v>
      </c>
      <c r="K632" s="84">
        <v>0</v>
      </c>
      <c r="L632" s="84">
        <v>447.01509320175444</v>
      </c>
      <c r="M632" s="84">
        <v>0</v>
      </c>
      <c r="N632" s="84">
        <v>0</v>
      </c>
    </row>
    <row r="633" spans="1:14" x14ac:dyDescent="0.25">
      <c r="A633" s="74" t="s">
        <v>2030</v>
      </c>
      <c r="B633" s="74">
        <v>4141</v>
      </c>
      <c r="C633" t="e">
        <f>VLOOKUP(B633,'Waste Lookups'!$B$1:$C$292,2,FALSE)</f>
        <v>#N/A</v>
      </c>
      <c r="D633" s="84">
        <v>1390.8545454545456</v>
      </c>
      <c r="E633" s="84">
        <v>2645.3345454545452</v>
      </c>
      <c r="F633" s="84">
        <v>0</v>
      </c>
      <c r="G633" s="84">
        <v>0</v>
      </c>
      <c r="H633" s="84">
        <v>0</v>
      </c>
      <c r="I633" s="84"/>
      <c r="J633" s="84">
        <v>782.66362531893287</v>
      </c>
      <c r="K633" s="84">
        <v>1488.5863746810671</v>
      </c>
      <c r="L633" s="84">
        <v>0</v>
      </c>
      <c r="M633" s="84">
        <v>0</v>
      </c>
      <c r="N633" s="84">
        <v>0</v>
      </c>
    </row>
    <row r="634" spans="1:14" x14ac:dyDescent="0.25">
      <c r="A634" s="74" t="s">
        <v>2032</v>
      </c>
      <c r="B634" s="74">
        <v>4142</v>
      </c>
      <c r="C634" t="e">
        <f>VLOOKUP(B634,'Waste Lookups'!$B$1:$C$292,2,FALSE)</f>
        <v>#N/A</v>
      </c>
      <c r="D634" s="84">
        <v>0</v>
      </c>
      <c r="E634" s="84">
        <v>0</v>
      </c>
      <c r="F634" s="84">
        <v>0</v>
      </c>
      <c r="G634" s="84">
        <v>0</v>
      </c>
      <c r="H634" s="84">
        <v>0</v>
      </c>
      <c r="I634" s="84"/>
      <c r="J634" s="84">
        <v>0</v>
      </c>
      <c r="K634" s="84">
        <v>0</v>
      </c>
      <c r="L634" s="84">
        <v>0</v>
      </c>
      <c r="M634" s="84">
        <v>0</v>
      </c>
      <c r="N634" s="84">
        <v>0</v>
      </c>
    </row>
    <row r="635" spans="1:14" x14ac:dyDescent="0.25">
      <c r="A635" s="74" t="s">
        <v>2034</v>
      </c>
      <c r="B635" s="74">
        <v>4145</v>
      </c>
      <c r="C635" t="e">
        <f>VLOOKUP(B635,'Waste Lookups'!$B$1:$C$292,2,FALSE)</f>
        <v>#N/A</v>
      </c>
      <c r="D635" s="84">
        <v>919.06909090909096</v>
      </c>
      <c r="E635" s="84">
        <v>1325.7163636363637</v>
      </c>
      <c r="F635" s="84">
        <v>0</v>
      </c>
      <c r="G635" s="84">
        <v>0</v>
      </c>
      <c r="H635" s="84">
        <v>0</v>
      </c>
      <c r="I635" s="84"/>
      <c r="J635" s="84">
        <v>886.53811908325713</v>
      </c>
      <c r="K635" s="84">
        <v>1278.7918809167427</v>
      </c>
      <c r="L635" s="84">
        <v>0</v>
      </c>
      <c r="M635" s="84">
        <v>0</v>
      </c>
      <c r="N635" s="84">
        <v>0</v>
      </c>
    </row>
    <row r="636" spans="1:14" x14ac:dyDescent="0.25">
      <c r="A636" s="74" t="s">
        <v>2036</v>
      </c>
      <c r="B636" s="74">
        <v>4148</v>
      </c>
      <c r="C636" t="e">
        <f>VLOOKUP(B636,'Waste Lookups'!$B$1:$C$292,2,FALSE)</f>
        <v>#N/A</v>
      </c>
      <c r="D636" s="84">
        <v>412.16727272727269</v>
      </c>
      <c r="E636" s="84">
        <v>741.07636363636368</v>
      </c>
      <c r="F636" s="84">
        <v>0</v>
      </c>
      <c r="G636" s="84">
        <v>0</v>
      </c>
      <c r="H636" s="84">
        <v>0</v>
      </c>
      <c r="I636" s="84"/>
      <c r="J636" s="84">
        <v>236.11873659117995</v>
      </c>
      <c r="K636" s="84">
        <v>424.54126340881999</v>
      </c>
      <c r="L636" s="84">
        <v>0</v>
      </c>
      <c r="M636" s="84">
        <v>0</v>
      </c>
      <c r="N636" s="84">
        <v>0</v>
      </c>
    </row>
    <row r="637" spans="1:14" x14ac:dyDescent="0.25">
      <c r="A637" s="74" t="s">
        <v>2038</v>
      </c>
      <c r="B637" s="74">
        <v>4150</v>
      </c>
      <c r="C637" t="e">
        <f>VLOOKUP(B637,'Waste Lookups'!$B$1:$C$292,2,FALSE)</f>
        <v>#N/A</v>
      </c>
      <c r="D637" s="84">
        <v>886.06909090909096</v>
      </c>
      <c r="E637" s="84">
        <v>331.42909090909086</v>
      </c>
      <c r="F637" s="84">
        <v>0</v>
      </c>
      <c r="G637" s="84">
        <v>0</v>
      </c>
      <c r="H637" s="84">
        <v>0</v>
      </c>
      <c r="I637" s="84"/>
      <c r="J637" s="84">
        <v>936.03241326475768</v>
      </c>
      <c r="K637" s="84">
        <v>350.11758673524247</v>
      </c>
      <c r="L637" s="84">
        <v>0</v>
      </c>
      <c r="M637" s="84">
        <v>0</v>
      </c>
      <c r="N637" s="84">
        <v>0</v>
      </c>
    </row>
    <row r="638" spans="1:14" x14ac:dyDescent="0.25">
      <c r="A638" s="74" t="s">
        <v>2040</v>
      </c>
      <c r="B638" s="74">
        <v>4151</v>
      </c>
      <c r="C638" t="e">
        <f>VLOOKUP(B638,'Waste Lookups'!$B$1:$C$292,2,FALSE)</f>
        <v>#N/A</v>
      </c>
      <c r="D638" s="84">
        <v>1027.0690909090908</v>
      </c>
      <c r="E638" s="84">
        <v>565.5272727272727</v>
      </c>
      <c r="F638" s="84">
        <v>0</v>
      </c>
      <c r="G638" s="84">
        <v>0</v>
      </c>
      <c r="H638" s="84">
        <v>0</v>
      </c>
      <c r="I638" s="84"/>
      <c r="J638" s="84">
        <v>921.13978080390154</v>
      </c>
      <c r="K638" s="84">
        <v>507.20021919609826</v>
      </c>
      <c r="L638" s="84">
        <v>0</v>
      </c>
      <c r="M638" s="84">
        <v>0</v>
      </c>
      <c r="N638" s="84">
        <v>0</v>
      </c>
    </row>
    <row r="639" spans="1:14" x14ac:dyDescent="0.25">
      <c r="A639" s="74" t="s">
        <v>2042</v>
      </c>
      <c r="B639" s="74">
        <v>4153</v>
      </c>
      <c r="C639" t="e">
        <f>VLOOKUP(B639,'Waste Lookups'!$B$1:$C$292,2,FALSE)</f>
        <v>#N/A</v>
      </c>
      <c r="D639" s="84">
        <v>0</v>
      </c>
      <c r="E639" s="84">
        <v>226.90909090909093</v>
      </c>
      <c r="F639" s="84">
        <v>0</v>
      </c>
      <c r="G639" s="84">
        <v>0</v>
      </c>
      <c r="H639" s="84">
        <v>0</v>
      </c>
      <c r="I639" s="84"/>
      <c r="J639" s="84">
        <v>0</v>
      </c>
      <c r="K639" s="84">
        <v>208</v>
      </c>
      <c r="L639" s="84">
        <v>0</v>
      </c>
      <c r="M639" s="84">
        <v>0</v>
      </c>
      <c r="N639" s="84">
        <v>0</v>
      </c>
    </row>
    <row r="640" spans="1:14" x14ac:dyDescent="0.25">
      <c r="A640" s="74" t="s">
        <v>2044</v>
      </c>
      <c r="B640" s="74">
        <v>4156</v>
      </c>
      <c r="C640" t="e">
        <f>VLOOKUP(B640,'Waste Lookups'!$B$1:$C$292,2,FALSE)</f>
        <v>#N/A</v>
      </c>
      <c r="D640" s="84">
        <v>2835.338181818182</v>
      </c>
      <c r="E640" s="84">
        <v>0</v>
      </c>
      <c r="F640" s="84">
        <v>0</v>
      </c>
      <c r="G640" s="84">
        <v>0</v>
      </c>
      <c r="H640" s="84">
        <v>0</v>
      </c>
      <c r="I640" s="84"/>
      <c r="J640" s="84">
        <v>2407.86</v>
      </c>
      <c r="K640" s="84">
        <v>0</v>
      </c>
      <c r="L640" s="84">
        <v>0</v>
      </c>
      <c r="M640" s="84">
        <v>0</v>
      </c>
      <c r="N640" s="84">
        <v>0</v>
      </c>
    </row>
    <row r="641" spans="1:14" x14ac:dyDescent="0.25">
      <c r="A641" s="74" t="s">
        <v>2046</v>
      </c>
      <c r="B641" s="74">
        <v>4157</v>
      </c>
      <c r="C641" t="e">
        <f>VLOOKUP(B641,'Waste Lookups'!$B$1:$C$292,2,FALSE)</f>
        <v>#N/A</v>
      </c>
      <c r="D641" s="84">
        <v>0</v>
      </c>
      <c r="E641" s="84">
        <v>1080.6545454545455</v>
      </c>
      <c r="F641" s="84">
        <v>0</v>
      </c>
      <c r="G641" s="84">
        <v>0</v>
      </c>
      <c r="H641" s="84">
        <v>209.45454545454544</v>
      </c>
      <c r="I641" s="84"/>
      <c r="J641" s="84">
        <v>0</v>
      </c>
      <c r="K641" s="84">
        <v>1787.318488077118</v>
      </c>
      <c r="L641" s="84">
        <v>0</v>
      </c>
      <c r="M641" s="84">
        <v>0</v>
      </c>
      <c r="N641" s="84">
        <v>346.42151192288168</v>
      </c>
    </row>
    <row r="642" spans="1:14" x14ac:dyDescent="0.25">
      <c r="A642" s="74" t="s">
        <v>2048</v>
      </c>
      <c r="B642" s="74">
        <v>4158</v>
      </c>
      <c r="C642" t="e">
        <f>VLOOKUP(B642,'Waste Lookups'!$B$1:$C$292,2,FALSE)</f>
        <v>#N/A</v>
      </c>
      <c r="D642" s="84">
        <v>909.28363636363633</v>
      </c>
      <c r="E642" s="84">
        <v>0</v>
      </c>
      <c r="F642" s="84">
        <v>0</v>
      </c>
      <c r="G642" s="84">
        <v>0</v>
      </c>
      <c r="H642" s="84">
        <v>0</v>
      </c>
      <c r="I642" s="84"/>
      <c r="J642" s="84">
        <v>935.19</v>
      </c>
      <c r="K642" s="84">
        <v>0</v>
      </c>
      <c r="L642" s="84">
        <v>0</v>
      </c>
      <c r="M642" s="84">
        <v>0</v>
      </c>
      <c r="N642" s="84">
        <v>0</v>
      </c>
    </row>
    <row r="643" spans="1:14" x14ac:dyDescent="0.25">
      <c r="A643" s="74" t="s">
        <v>2050</v>
      </c>
      <c r="B643" s="74">
        <v>4160</v>
      </c>
      <c r="C643" t="e">
        <f>VLOOKUP(B643,'Waste Lookups'!$B$1:$C$292,2,FALSE)</f>
        <v>#N/A</v>
      </c>
      <c r="D643" s="84">
        <v>2216.1381818181817</v>
      </c>
      <c r="E643" s="84">
        <v>1311.9927272727273</v>
      </c>
      <c r="F643" s="84">
        <v>0</v>
      </c>
      <c r="G643" s="84">
        <v>214.09090909090907</v>
      </c>
      <c r="H643" s="84">
        <v>0</v>
      </c>
      <c r="I643" s="84"/>
      <c r="J643" s="84">
        <v>1675.8092633156191</v>
      </c>
      <c r="K643" s="84">
        <v>992.10851733194954</v>
      </c>
      <c r="L643" s="84">
        <v>0</v>
      </c>
      <c r="M643" s="84">
        <v>161.89221935243134</v>
      </c>
      <c r="N643" s="84">
        <v>0</v>
      </c>
    </row>
    <row r="644" spans="1:14" x14ac:dyDescent="0.25">
      <c r="A644" s="74" t="s">
        <v>2052</v>
      </c>
      <c r="B644" s="74">
        <v>4164</v>
      </c>
      <c r="C644" t="e">
        <f>VLOOKUP(B644,'Waste Lookups'!$B$1:$C$292,2,FALSE)</f>
        <v>#N/A</v>
      </c>
      <c r="D644" s="84">
        <v>2799.6763636363635</v>
      </c>
      <c r="E644" s="84">
        <v>1559.88</v>
      </c>
      <c r="F644" s="84">
        <v>0</v>
      </c>
      <c r="G644" s="84">
        <v>0</v>
      </c>
      <c r="H644" s="84">
        <v>0</v>
      </c>
      <c r="I644" s="84"/>
      <c r="J644" s="84">
        <v>1681.6978353760765</v>
      </c>
      <c r="K644" s="84">
        <v>936.98216462392338</v>
      </c>
      <c r="L644" s="84">
        <v>0</v>
      </c>
      <c r="M644" s="84">
        <v>0</v>
      </c>
      <c r="N644" s="84">
        <v>0</v>
      </c>
    </row>
    <row r="645" spans="1:14" x14ac:dyDescent="0.25">
      <c r="A645" s="74" t="s">
        <v>2054</v>
      </c>
      <c r="B645" s="74">
        <v>4165</v>
      </c>
      <c r="C645" t="e">
        <f>VLOOKUP(B645,'Waste Lookups'!$B$1:$C$292,2,FALSE)</f>
        <v>#N/A</v>
      </c>
      <c r="D645" s="84">
        <v>1248.0872727272726</v>
      </c>
      <c r="E645" s="84">
        <v>726.84</v>
      </c>
      <c r="F645" s="84">
        <v>0</v>
      </c>
      <c r="G645" s="84">
        <v>0</v>
      </c>
      <c r="H645" s="84">
        <v>0</v>
      </c>
      <c r="I645" s="84"/>
      <c r="J645" s="84">
        <v>554.24699179716629</v>
      </c>
      <c r="K645" s="84">
        <v>322.77300820283369</v>
      </c>
      <c r="L645" s="84">
        <v>0</v>
      </c>
      <c r="M645" s="84">
        <v>0</v>
      </c>
      <c r="N645" s="84">
        <v>0</v>
      </c>
    </row>
    <row r="646" spans="1:14" x14ac:dyDescent="0.25">
      <c r="A646" s="74" t="s">
        <v>2056</v>
      </c>
      <c r="B646" s="74">
        <v>4170</v>
      </c>
      <c r="C646" t="e">
        <f>VLOOKUP(B646,'Waste Lookups'!$B$1:$C$292,2,FALSE)</f>
        <v>#N/A</v>
      </c>
      <c r="D646" s="84">
        <v>3671.7381818181821</v>
      </c>
      <c r="E646" s="84">
        <v>2651.4327272727273</v>
      </c>
      <c r="F646" s="84">
        <v>0</v>
      </c>
      <c r="G646" s="84">
        <v>0</v>
      </c>
      <c r="H646" s="84">
        <v>0</v>
      </c>
      <c r="I646" s="84"/>
      <c r="J646" s="84">
        <v>3446.2306190219861</v>
      </c>
      <c r="K646" s="84">
        <v>2488.5893809780127</v>
      </c>
      <c r="L646" s="84">
        <v>0</v>
      </c>
      <c r="M646" s="84">
        <v>0</v>
      </c>
      <c r="N646" s="84">
        <v>0</v>
      </c>
    </row>
    <row r="647" spans="1:14" x14ac:dyDescent="0.25">
      <c r="A647" s="74" t="s">
        <v>2058</v>
      </c>
      <c r="B647" s="74">
        <v>4173</v>
      </c>
      <c r="C647" t="e">
        <f>VLOOKUP(B647,'Waste Lookups'!$B$1:$C$292,2,FALSE)</f>
        <v>#N/A</v>
      </c>
      <c r="D647" s="84">
        <v>1477.5709090909093</v>
      </c>
      <c r="E647" s="84">
        <v>0</v>
      </c>
      <c r="F647" s="84">
        <v>0</v>
      </c>
      <c r="G647" s="84">
        <v>0</v>
      </c>
      <c r="H647" s="84">
        <v>0</v>
      </c>
      <c r="I647" s="84"/>
      <c r="J647" s="84">
        <v>1400</v>
      </c>
      <c r="K647" s="84">
        <v>0</v>
      </c>
      <c r="L647" s="84">
        <v>0</v>
      </c>
      <c r="M647" s="84">
        <v>0</v>
      </c>
      <c r="N647" s="84">
        <v>0</v>
      </c>
    </row>
    <row r="648" spans="1:14" x14ac:dyDescent="0.25">
      <c r="A648" s="74" t="s">
        <v>2060</v>
      </c>
      <c r="B648" s="74">
        <v>4175</v>
      </c>
      <c r="C648" t="e">
        <f>VLOOKUP(B648,'Waste Lookups'!$B$1:$C$292,2,FALSE)</f>
        <v>#N/A</v>
      </c>
      <c r="D648" s="84">
        <v>343.78909090909087</v>
      </c>
      <c r="E648" s="84">
        <v>690</v>
      </c>
      <c r="F648" s="84">
        <v>0</v>
      </c>
      <c r="G648" s="84">
        <v>0</v>
      </c>
      <c r="H648" s="84">
        <v>0</v>
      </c>
      <c r="I648" s="84"/>
      <c r="J648" s="84">
        <v>310.83012029884765</v>
      </c>
      <c r="K648" s="84">
        <v>623.84987970115242</v>
      </c>
      <c r="L648" s="84">
        <v>0</v>
      </c>
      <c r="M648" s="84">
        <v>0</v>
      </c>
      <c r="N648" s="84">
        <v>0</v>
      </c>
    </row>
    <row r="649" spans="1:14" x14ac:dyDescent="0.25">
      <c r="A649" s="74" t="s">
        <v>2062</v>
      </c>
      <c r="B649" s="74">
        <v>4179</v>
      </c>
      <c r="C649" t="e">
        <f>VLOOKUP(B649,'Waste Lookups'!$B$1:$C$292,2,FALSE)</f>
        <v>#N/A</v>
      </c>
      <c r="D649" s="84">
        <v>308.3890909090909</v>
      </c>
      <c r="E649" s="84">
        <v>0</v>
      </c>
      <c r="F649" s="84">
        <v>258.04363636363638</v>
      </c>
      <c r="G649" s="84">
        <v>0</v>
      </c>
      <c r="H649" s="84">
        <v>0</v>
      </c>
      <c r="I649" s="84"/>
      <c r="J649" s="84">
        <v>578.90390963542154</v>
      </c>
      <c r="K649" s="84">
        <v>0</v>
      </c>
      <c r="L649" s="84">
        <v>484.3960903645783</v>
      </c>
      <c r="M649" s="84">
        <v>0</v>
      </c>
      <c r="N649" s="84">
        <v>0</v>
      </c>
    </row>
    <row r="650" spans="1:14" x14ac:dyDescent="0.25">
      <c r="A650" s="74" t="s">
        <v>2064</v>
      </c>
      <c r="B650" s="74">
        <v>4181</v>
      </c>
      <c r="C650" t="e">
        <f>VLOOKUP(B650,'Waste Lookups'!$B$1:$C$292,2,FALSE)</f>
        <v>#N/A</v>
      </c>
      <c r="D650" s="84">
        <v>1983.7090909090909</v>
      </c>
      <c r="E650" s="84">
        <v>0</v>
      </c>
      <c r="F650" s="84">
        <v>3569.5090909090914</v>
      </c>
      <c r="G650" s="84">
        <v>0</v>
      </c>
      <c r="H650" s="84">
        <v>0</v>
      </c>
      <c r="I650" s="84"/>
      <c r="J650" s="84">
        <v>1002.8214605781412</v>
      </c>
      <c r="K650" s="84">
        <v>0</v>
      </c>
      <c r="L650" s="84">
        <v>1804.4885394218586</v>
      </c>
      <c r="M650" s="84">
        <v>0</v>
      </c>
      <c r="N650" s="84">
        <v>0</v>
      </c>
    </row>
    <row r="651" spans="1:14" x14ac:dyDescent="0.25">
      <c r="A651" s="74" t="s">
        <v>2066</v>
      </c>
      <c r="B651" s="74">
        <v>4182</v>
      </c>
      <c r="C651" t="e">
        <f>VLOOKUP(B651,'Waste Lookups'!$B$1:$C$292,2,FALSE)</f>
        <v>#N/A</v>
      </c>
      <c r="D651" s="84">
        <v>0</v>
      </c>
      <c r="E651" s="84">
        <v>2002.1672727272726</v>
      </c>
      <c r="F651" s="84">
        <v>0</v>
      </c>
      <c r="G651" s="84">
        <v>0</v>
      </c>
      <c r="H651" s="84">
        <v>0</v>
      </c>
      <c r="I651" s="84"/>
      <c r="J651" s="84">
        <v>0</v>
      </c>
      <c r="K651" s="84">
        <v>1697.69</v>
      </c>
      <c r="L651" s="84">
        <v>0</v>
      </c>
      <c r="M651" s="84">
        <v>0</v>
      </c>
      <c r="N651" s="84">
        <v>0</v>
      </c>
    </row>
    <row r="652" spans="1:14" x14ac:dyDescent="0.25">
      <c r="A652" s="74" t="s">
        <v>2068</v>
      </c>
      <c r="B652" s="74">
        <v>4186</v>
      </c>
      <c r="C652" t="e">
        <f>VLOOKUP(B652,'Waste Lookups'!$B$1:$C$292,2,FALSE)</f>
        <v>#N/A</v>
      </c>
      <c r="D652" s="84">
        <v>1585.1127272727272</v>
      </c>
      <c r="E652" s="84">
        <v>1158.2836363636363</v>
      </c>
      <c r="F652" s="84">
        <v>0</v>
      </c>
      <c r="G652" s="84">
        <v>0</v>
      </c>
      <c r="H652" s="84">
        <v>0</v>
      </c>
      <c r="I652" s="84"/>
      <c r="J652" s="84">
        <v>1191.3668506191395</v>
      </c>
      <c r="K652" s="84">
        <v>870.5631493808603</v>
      </c>
      <c r="L652" s="84">
        <v>0</v>
      </c>
      <c r="M652" s="84">
        <v>0</v>
      </c>
      <c r="N652" s="84">
        <v>0</v>
      </c>
    </row>
    <row r="653" spans="1:14" x14ac:dyDescent="0.25">
      <c r="A653" s="74" t="s">
        <v>2070</v>
      </c>
      <c r="B653" s="74">
        <v>4191</v>
      </c>
      <c r="C653" t="e">
        <f>VLOOKUP(B653,'Waste Lookups'!$B$1:$C$292,2,FALSE)</f>
        <v>#N/A</v>
      </c>
      <c r="D653" s="84">
        <v>0</v>
      </c>
      <c r="E653" s="84">
        <v>778.75636363636363</v>
      </c>
      <c r="F653" s="84">
        <v>0</v>
      </c>
      <c r="G653" s="84">
        <v>0</v>
      </c>
      <c r="H653" s="84">
        <v>0</v>
      </c>
      <c r="I653" s="84"/>
      <c r="J653" s="84">
        <v>0</v>
      </c>
      <c r="K653" s="84">
        <v>125.44</v>
      </c>
      <c r="L653" s="84">
        <v>0</v>
      </c>
      <c r="M653" s="84">
        <v>0</v>
      </c>
      <c r="N653" s="84">
        <v>0</v>
      </c>
    </row>
    <row r="654" spans="1:14" x14ac:dyDescent="0.25">
      <c r="A654" s="74" t="s">
        <v>2072</v>
      </c>
      <c r="B654" s="74">
        <v>4194</v>
      </c>
      <c r="C654" t="e">
        <f>VLOOKUP(B654,'Waste Lookups'!$B$1:$C$292,2,FALSE)</f>
        <v>#N/A</v>
      </c>
      <c r="D654" s="84">
        <v>0</v>
      </c>
      <c r="E654" s="84">
        <v>844.88727272727283</v>
      </c>
      <c r="F654" s="84">
        <v>0</v>
      </c>
      <c r="G654" s="84">
        <v>137.67272727272729</v>
      </c>
      <c r="H654" s="84">
        <v>0</v>
      </c>
      <c r="I654" s="84"/>
      <c r="J654" s="84">
        <v>0</v>
      </c>
      <c r="K654" s="84">
        <v>747.45385708575736</v>
      </c>
      <c r="L654" s="84">
        <v>0</v>
      </c>
      <c r="M654" s="84">
        <v>121.79614291424257</v>
      </c>
      <c r="N654" s="84">
        <v>0</v>
      </c>
    </row>
    <row r="655" spans="1:14" x14ac:dyDescent="0.25">
      <c r="A655" s="74" t="s">
        <v>2074</v>
      </c>
      <c r="B655" s="74">
        <v>4195</v>
      </c>
      <c r="C655" t="e">
        <f>VLOOKUP(B655,'Waste Lookups'!$B$1:$C$292,2,FALSE)</f>
        <v>#N/A</v>
      </c>
      <c r="D655" s="84">
        <v>0</v>
      </c>
      <c r="E655" s="84">
        <v>1576.1454545454544</v>
      </c>
      <c r="F655" s="84">
        <v>0</v>
      </c>
      <c r="G655" s="84">
        <v>0</v>
      </c>
      <c r="H655" s="84">
        <v>0</v>
      </c>
      <c r="I655" s="84"/>
      <c r="J655" s="84">
        <v>0</v>
      </c>
      <c r="K655" s="84">
        <v>2250.08</v>
      </c>
      <c r="L655" s="84">
        <v>0</v>
      </c>
      <c r="M655" s="84">
        <v>0</v>
      </c>
      <c r="N655" s="84">
        <v>0</v>
      </c>
    </row>
    <row r="656" spans="1:14" x14ac:dyDescent="0.25">
      <c r="A656" s="74" t="s">
        <v>756</v>
      </c>
      <c r="B656" s="74">
        <v>4197</v>
      </c>
      <c r="C656" t="str">
        <f>VLOOKUP(B656,'Waste Lookups'!$B$1:$C$292,2,FALSE)</f>
        <v>Omega Business Park</v>
      </c>
      <c r="D656" s="84">
        <v>0</v>
      </c>
      <c r="E656" s="84">
        <v>3484.570909090909</v>
      </c>
      <c r="F656" s="84">
        <v>0</v>
      </c>
      <c r="G656" s="84">
        <v>0</v>
      </c>
      <c r="H656" s="84">
        <v>0</v>
      </c>
      <c r="I656" s="84"/>
      <c r="J656" s="84">
        <v>0</v>
      </c>
      <c r="K656" s="84">
        <v>354.91</v>
      </c>
      <c r="L656" s="84">
        <v>0</v>
      </c>
      <c r="M656" s="84">
        <v>0</v>
      </c>
      <c r="N656" s="84">
        <v>0</v>
      </c>
    </row>
    <row r="657" spans="1:14" x14ac:dyDescent="0.25">
      <c r="A657" s="74" t="s">
        <v>723</v>
      </c>
      <c r="B657" s="74">
        <v>4198</v>
      </c>
      <c r="C657" t="str">
        <f>VLOOKUP(B657,'Waste Lookups'!$B$1:$C$292,2,FALSE)</f>
        <v>Alpha Court</v>
      </c>
      <c r="D657" s="84">
        <v>0</v>
      </c>
      <c r="E657" s="84">
        <v>5898.6654545454539</v>
      </c>
      <c r="F657" s="84">
        <v>0</v>
      </c>
      <c r="G657" s="84">
        <v>0</v>
      </c>
      <c r="H657" s="84">
        <v>0</v>
      </c>
      <c r="I657" s="84"/>
      <c r="J657" s="84">
        <v>0</v>
      </c>
      <c r="K657" s="84">
        <v>600.79</v>
      </c>
      <c r="L657" s="84">
        <v>0</v>
      </c>
      <c r="M657" s="84">
        <v>0</v>
      </c>
      <c r="N657" s="84">
        <v>0</v>
      </c>
    </row>
    <row r="658" spans="1:14" x14ac:dyDescent="0.25">
      <c r="A658" s="74" t="s">
        <v>2078</v>
      </c>
      <c r="B658" s="74">
        <v>4202</v>
      </c>
      <c r="C658" t="e">
        <f>VLOOKUP(B658,'Waste Lookups'!$B$1:$C$292,2,FALSE)</f>
        <v>#N/A</v>
      </c>
      <c r="D658" s="84">
        <v>605.81454545454551</v>
      </c>
      <c r="E658" s="84">
        <v>110.61818181818182</v>
      </c>
      <c r="F658" s="84">
        <v>0</v>
      </c>
      <c r="G658" s="84">
        <v>0</v>
      </c>
      <c r="H658" s="84">
        <v>0</v>
      </c>
      <c r="I658" s="84"/>
      <c r="J658" s="84">
        <v>2608.8409483349319</v>
      </c>
      <c r="K658" s="84">
        <v>476.3590516650678</v>
      </c>
      <c r="L658" s="84">
        <v>0</v>
      </c>
      <c r="M658" s="84">
        <v>0</v>
      </c>
      <c r="N658" s="84">
        <v>0</v>
      </c>
    </row>
    <row r="659" spans="1:14" x14ac:dyDescent="0.25">
      <c r="A659" s="74" t="s">
        <v>2080</v>
      </c>
      <c r="B659" s="74">
        <v>4210</v>
      </c>
      <c r="C659" t="e">
        <f>VLOOKUP(B659,'Waste Lookups'!$B$1:$C$292,2,FALSE)</f>
        <v>#N/A</v>
      </c>
      <c r="D659" s="84">
        <v>0</v>
      </c>
      <c r="E659" s="84">
        <v>0</v>
      </c>
      <c r="F659" s="84">
        <v>0</v>
      </c>
      <c r="G659" s="84">
        <v>0</v>
      </c>
      <c r="H659" s="84">
        <v>0</v>
      </c>
      <c r="I659" s="84"/>
      <c r="J659" s="84">
        <v>0</v>
      </c>
      <c r="K659" s="84">
        <v>0</v>
      </c>
      <c r="L659" s="84">
        <v>0</v>
      </c>
      <c r="M659" s="84">
        <v>0</v>
      </c>
      <c r="N659" s="84">
        <v>0</v>
      </c>
    </row>
    <row r="660" spans="1:14" x14ac:dyDescent="0.25">
      <c r="A660" s="74" t="s">
        <v>749</v>
      </c>
      <c r="B660" s="74">
        <v>4213</v>
      </c>
      <c r="C660" t="str">
        <f>VLOOKUP(B660,'Waste Lookups'!$B$1:$C$292,2,FALSE)</f>
        <v>Triune Court</v>
      </c>
      <c r="D660" s="84">
        <v>0</v>
      </c>
      <c r="E660" s="84">
        <v>5898.6654545454539</v>
      </c>
      <c r="F660" s="84">
        <v>0</v>
      </c>
      <c r="G660" s="84">
        <v>0</v>
      </c>
      <c r="H660" s="84">
        <v>0</v>
      </c>
      <c r="I660" s="84"/>
      <c r="J660" s="84">
        <v>0</v>
      </c>
      <c r="K660" s="84">
        <v>600.79</v>
      </c>
      <c r="L660" s="84">
        <v>0</v>
      </c>
      <c r="M660" s="84">
        <v>0</v>
      </c>
      <c r="N660" s="84">
        <v>0</v>
      </c>
    </row>
    <row r="661" spans="1:14" x14ac:dyDescent="0.25">
      <c r="A661" s="74" t="s">
        <v>2083</v>
      </c>
      <c r="B661" s="74">
        <v>4214</v>
      </c>
      <c r="C661" t="e">
        <f>VLOOKUP(B661,'Waste Lookups'!$B$1:$C$292,2,FALSE)</f>
        <v>#N/A</v>
      </c>
      <c r="D661" s="84">
        <v>19.309090909090909</v>
      </c>
      <c r="E661" s="84">
        <v>0</v>
      </c>
      <c r="F661" s="84">
        <v>0</v>
      </c>
      <c r="G661" s="84">
        <v>0</v>
      </c>
      <c r="H661" s="84">
        <v>0</v>
      </c>
      <c r="I661" s="84"/>
      <c r="J661" s="84">
        <v>323.45</v>
      </c>
      <c r="K661" s="84">
        <v>0</v>
      </c>
      <c r="L661" s="84">
        <v>0</v>
      </c>
      <c r="M661" s="84">
        <v>0</v>
      </c>
      <c r="N661" s="84">
        <v>0</v>
      </c>
    </row>
    <row r="662" spans="1:14" x14ac:dyDescent="0.25">
      <c r="A662" s="74" t="s">
        <v>730</v>
      </c>
      <c r="B662" s="74">
        <v>4233</v>
      </c>
      <c r="C662" t="str">
        <f>VLOOKUP(B662,'Waste Lookups'!$B$1:$C$292,2,FALSE)</f>
        <v>Hillder House</v>
      </c>
      <c r="D662" s="84">
        <v>0</v>
      </c>
      <c r="E662" s="84">
        <v>69.818181818181813</v>
      </c>
      <c r="F662" s="84">
        <v>0</v>
      </c>
      <c r="G662" s="84">
        <v>0</v>
      </c>
      <c r="H662" s="84">
        <v>0</v>
      </c>
      <c r="I662" s="84"/>
      <c r="J662" s="84">
        <v>0</v>
      </c>
      <c r="K662" s="84">
        <v>0</v>
      </c>
      <c r="L662" s="84">
        <v>0</v>
      </c>
      <c r="M662" s="84">
        <v>0</v>
      </c>
      <c r="N662" s="84">
        <v>0</v>
      </c>
    </row>
    <row r="663" spans="1:14" x14ac:dyDescent="0.25">
      <c r="A663" s="74" t="s">
        <v>2086</v>
      </c>
      <c r="B663" s="74">
        <v>4248</v>
      </c>
      <c r="C663" t="e">
        <f>VLOOKUP(B663,'Waste Lookups'!$B$1:$C$292,2,FALSE)</f>
        <v>#N/A</v>
      </c>
      <c r="D663" s="84">
        <v>146.74909090909091</v>
      </c>
      <c r="E663" s="84">
        <v>81.098181818181828</v>
      </c>
      <c r="F663" s="84">
        <v>0</v>
      </c>
      <c r="G663" s="84">
        <v>0</v>
      </c>
      <c r="H663" s="84">
        <v>0</v>
      </c>
      <c r="I663" s="84"/>
      <c r="J663" s="84">
        <v>0</v>
      </c>
      <c r="K663" s="84">
        <v>0</v>
      </c>
      <c r="L663" s="84">
        <v>0</v>
      </c>
      <c r="M663" s="84">
        <v>0</v>
      </c>
      <c r="N663" s="84">
        <v>0</v>
      </c>
    </row>
    <row r="664" spans="1:14" x14ac:dyDescent="0.25">
      <c r="A664" s="74" t="s">
        <v>2088</v>
      </c>
      <c r="B664" s="74">
        <v>4260</v>
      </c>
      <c r="C664" t="e">
        <f>VLOOKUP(B664,'Waste Lookups'!$B$1:$C$292,2,FALSE)</f>
        <v>#N/A</v>
      </c>
      <c r="D664" s="84">
        <v>0</v>
      </c>
      <c r="E664" s="84">
        <v>1899.0436363636363</v>
      </c>
      <c r="F664" s="84">
        <v>0</v>
      </c>
      <c r="G664" s="84">
        <v>0</v>
      </c>
      <c r="H664" s="84">
        <v>474.08727272727276</v>
      </c>
      <c r="I664" s="84"/>
      <c r="J664" s="84">
        <v>0</v>
      </c>
      <c r="K664" s="84">
        <v>3802.887180295766</v>
      </c>
      <c r="L664" s="84">
        <v>0</v>
      </c>
      <c r="M664" s="84">
        <v>0</v>
      </c>
      <c r="N664" s="84">
        <v>949.37281970423442</v>
      </c>
    </row>
    <row r="665" spans="1:14" x14ac:dyDescent="0.25">
      <c r="A665" s="74" t="s">
        <v>758</v>
      </c>
      <c r="B665" s="74">
        <v>4261</v>
      </c>
      <c r="C665" t="str">
        <f>VLOOKUP(B665,'Waste Lookups'!$B$1:$C$292,2,FALSE)</f>
        <v>Retford Hospital</v>
      </c>
      <c r="D665" s="84">
        <v>0</v>
      </c>
      <c r="E665" s="84">
        <v>6397.6145454545458</v>
      </c>
      <c r="F665" s="84">
        <v>1638.4254545454546</v>
      </c>
      <c r="G665" s="84">
        <v>0</v>
      </c>
      <c r="H665" s="84">
        <v>709.44</v>
      </c>
      <c r="I665" s="84"/>
      <c r="J665" s="84">
        <v>0</v>
      </c>
      <c r="K665" s="84">
        <v>12690.897735000355</v>
      </c>
      <c r="L665" s="84">
        <v>3250.1317080490821</v>
      </c>
      <c r="M665" s="84">
        <v>0</v>
      </c>
      <c r="N665" s="84">
        <v>1407.3105569505617</v>
      </c>
    </row>
    <row r="666" spans="1:14" x14ac:dyDescent="0.25">
      <c r="A666" s="74" t="s">
        <v>2091</v>
      </c>
      <c r="B666" s="74">
        <v>4262</v>
      </c>
      <c r="C666" t="e">
        <f>VLOOKUP(B666,'Waste Lookups'!$B$1:$C$292,2,FALSE)</f>
        <v>#N/A</v>
      </c>
      <c r="D666" s="84">
        <v>0</v>
      </c>
      <c r="E666" s="84">
        <v>417.31636363636369</v>
      </c>
      <c r="F666" s="84">
        <v>0</v>
      </c>
      <c r="G666" s="84">
        <v>0</v>
      </c>
      <c r="H666" s="84">
        <v>70.723636363636359</v>
      </c>
      <c r="I666" s="84"/>
      <c r="J666" s="84">
        <v>0</v>
      </c>
      <c r="K666" s="84">
        <v>0</v>
      </c>
      <c r="L666" s="84">
        <v>0</v>
      </c>
      <c r="M666" s="84">
        <v>0</v>
      </c>
      <c r="N666" s="84">
        <v>0</v>
      </c>
    </row>
    <row r="667" spans="1:14" x14ac:dyDescent="0.25">
      <c r="A667" s="74" t="s">
        <v>2093</v>
      </c>
      <c r="B667" s="74">
        <v>4263</v>
      </c>
      <c r="C667" t="e">
        <f>VLOOKUP(B667,'Waste Lookups'!$B$1:$C$292,2,FALSE)</f>
        <v>#N/A</v>
      </c>
      <c r="D667" s="84">
        <v>0</v>
      </c>
      <c r="E667" s="84">
        <v>84.872727272727275</v>
      </c>
      <c r="F667" s="84">
        <v>0</v>
      </c>
      <c r="G667" s="84">
        <v>89.105454545454549</v>
      </c>
      <c r="H667" s="84">
        <v>428.59636363636366</v>
      </c>
      <c r="I667" s="84"/>
      <c r="J667" s="84">
        <v>0</v>
      </c>
      <c r="K667" s="84">
        <v>350.07042146426238</v>
      </c>
      <c r="L667" s="84">
        <v>0</v>
      </c>
      <c r="M667" s="84">
        <v>367.52894633934386</v>
      </c>
      <c r="N667" s="84">
        <v>1767.8106321963935</v>
      </c>
    </row>
    <row r="668" spans="1:14" x14ac:dyDescent="0.25">
      <c r="A668" s="74" t="s">
        <v>2095</v>
      </c>
      <c r="B668" s="74">
        <v>4277</v>
      </c>
      <c r="C668" t="e">
        <f>VLOOKUP(B668,'Waste Lookups'!$B$1:$C$292,2,FALSE)</f>
        <v>#N/A</v>
      </c>
      <c r="D668" s="84">
        <v>0</v>
      </c>
      <c r="E668" s="84">
        <v>270.54545454545456</v>
      </c>
      <c r="F668" s="84">
        <v>0</v>
      </c>
      <c r="G668" s="84">
        <v>0</v>
      </c>
      <c r="H668" s="84">
        <v>0</v>
      </c>
      <c r="I668" s="84"/>
      <c r="J668" s="84">
        <v>0</v>
      </c>
      <c r="K668" s="84">
        <v>214.28</v>
      </c>
      <c r="L668" s="84">
        <v>0</v>
      </c>
      <c r="M668" s="84">
        <v>0</v>
      </c>
      <c r="N668" s="84">
        <v>0</v>
      </c>
    </row>
    <row r="669" spans="1:14" x14ac:dyDescent="0.25">
      <c r="A669" s="74" t="s">
        <v>2097</v>
      </c>
      <c r="B669" s="74">
        <v>4279</v>
      </c>
      <c r="C669" t="e">
        <f>VLOOKUP(B669,'Waste Lookups'!$B$1:$C$292,2,FALSE)</f>
        <v>#N/A</v>
      </c>
      <c r="D669" s="84">
        <v>0</v>
      </c>
      <c r="E669" s="84">
        <v>850.90909090909088</v>
      </c>
      <c r="F669" s="84">
        <v>0</v>
      </c>
      <c r="G669" s="84">
        <v>0</v>
      </c>
      <c r="H669" s="84">
        <v>0</v>
      </c>
      <c r="I669" s="84"/>
      <c r="J669" s="84">
        <v>0</v>
      </c>
      <c r="K669" s="84">
        <v>695</v>
      </c>
      <c r="L669" s="84">
        <v>0</v>
      </c>
      <c r="M669" s="84">
        <v>0</v>
      </c>
      <c r="N669" s="84">
        <v>0</v>
      </c>
    </row>
    <row r="670" spans="1:14" x14ac:dyDescent="0.25">
      <c r="A670" s="74" t="s">
        <v>2099</v>
      </c>
      <c r="B670" s="74">
        <v>4280</v>
      </c>
      <c r="C670" t="e">
        <f>VLOOKUP(B670,'Waste Lookups'!$B$1:$C$292,2,FALSE)</f>
        <v>#N/A</v>
      </c>
      <c r="D670" s="84">
        <v>0</v>
      </c>
      <c r="E670" s="84">
        <v>1701.8181818181818</v>
      </c>
      <c r="F670" s="84">
        <v>0</v>
      </c>
      <c r="G670" s="84">
        <v>0</v>
      </c>
      <c r="H670" s="84">
        <v>0</v>
      </c>
      <c r="I670" s="84"/>
      <c r="J670" s="84">
        <v>0</v>
      </c>
      <c r="K670" s="84">
        <v>1390</v>
      </c>
      <c r="L670" s="84">
        <v>0</v>
      </c>
      <c r="M670" s="84">
        <v>0</v>
      </c>
      <c r="N670" s="84">
        <v>0</v>
      </c>
    </row>
    <row r="671" spans="1:14" x14ac:dyDescent="0.25">
      <c r="A671" s="74" t="s">
        <v>2101</v>
      </c>
      <c r="B671" s="74">
        <v>4284</v>
      </c>
      <c r="C671" t="e">
        <f>VLOOKUP(B671,'Waste Lookups'!$B$1:$C$292,2,FALSE)</f>
        <v>#N/A</v>
      </c>
      <c r="D671" s="84">
        <v>0</v>
      </c>
      <c r="E671" s="84">
        <v>882.58909090909083</v>
      </c>
      <c r="F671" s="84">
        <v>0</v>
      </c>
      <c r="G671" s="84">
        <v>0</v>
      </c>
      <c r="H671" s="84">
        <v>0</v>
      </c>
      <c r="I671" s="84"/>
      <c r="J671" s="84">
        <v>0</v>
      </c>
      <c r="K671" s="84">
        <v>714.36</v>
      </c>
      <c r="L671" s="84">
        <v>0</v>
      </c>
      <c r="M671" s="84">
        <v>0</v>
      </c>
      <c r="N671" s="84">
        <v>0</v>
      </c>
    </row>
    <row r="672" spans="1:14" x14ac:dyDescent="0.25">
      <c r="A672" s="74" t="s">
        <v>2103</v>
      </c>
      <c r="B672" s="74">
        <v>4288</v>
      </c>
      <c r="C672" t="e">
        <f>VLOOKUP(B672,'Waste Lookups'!$B$1:$C$292,2,FALSE)</f>
        <v>#N/A</v>
      </c>
      <c r="D672" s="84">
        <v>0</v>
      </c>
      <c r="E672" s="84">
        <v>850.90909090909088</v>
      </c>
      <c r="F672" s="84">
        <v>0</v>
      </c>
      <c r="G672" s="84">
        <v>0</v>
      </c>
      <c r="H672" s="84">
        <v>0</v>
      </c>
      <c r="I672" s="84"/>
      <c r="J672" s="84">
        <v>0</v>
      </c>
      <c r="K672" s="84">
        <v>1198.6300000000001</v>
      </c>
      <c r="L672" s="84">
        <v>0</v>
      </c>
      <c r="M672" s="84">
        <v>0</v>
      </c>
      <c r="N672" s="84">
        <v>0</v>
      </c>
    </row>
    <row r="673" spans="1:14" x14ac:dyDescent="0.25">
      <c r="A673" s="74" t="s">
        <v>2105</v>
      </c>
      <c r="B673" s="74">
        <v>4289</v>
      </c>
      <c r="C673" t="e">
        <f>VLOOKUP(B673,'Waste Lookups'!$B$1:$C$292,2,FALSE)</f>
        <v>#N/A</v>
      </c>
      <c r="D673" s="84">
        <v>0</v>
      </c>
      <c r="E673" s="84">
        <v>1701.8181818181818</v>
      </c>
      <c r="F673" s="84">
        <v>0</v>
      </c>
      <c r="G673" s="84">
        <v>0</v>
      </c>
      <c r="H673" s="84">
        <v>0</v>
      </c>
      <c r="I673" s="84"/>
      <c r="J673" s="84">
        <v>0</v>
      </c>
      <c r="K673" s="84">
        <v>1390</v>
      </c>
      <c r="L673" s="84">
        <v>0</v>
      </c>
      <c r="M673" s="84">
        <v>0</v>
      </c>
      <c r="N673" s="84">
        <v>0</v>
      </c>
    </row>
    <row r="674" spans="1:14" x14ac:dyDescent="0.25">
      <c r="A674" s="74" t="s">
        <v>2107</v>
      </c>
      <c r="B674" s="74">
        <v>4290</v>
      </c>
      <c r="C674" t="e">
        <f>VLOOKUP(B674,'Waste Lookups'!$B$1:$C$292,2,FALSE)</f>
        <v>#N/A</v>
      </c>
      <c r="D674" s="84">
        <v>0</v>
      </c>
      <c r="E674" s="84">
        <v>2282.7054545454548</v>
      </c>
      <c r="F674" s="84">
        <v>0</v>
      </c>
      <c r="G674" s="84">
        <v>0</v>
      </c>
      <c r="H674" s="84">
        <v>465.90545454545452</v>
      </c>
      <c r="I674" s="84"/>
      <c r="J674" s="84">
        <v>0</v>
      </c>
      <c r="K674" s="84">
        <v>1209.9137995523026</v>
      </c>
      <c r="L674" s="84">
        <v>0</v>
      </c>
      <c r="M674" s="84">
        <v>0</v>
      </c>
      <c r="N674" s="84">
        <v>246.94620044769715</v>
      </c>
    </row>
    <row r="675" spans="1:14" x14ac:dyDescent="0.25">
      <c r="A675" s="74" t="s">
        <v>2109</v>
      </c>
      <c r="B675" s="74">
        <v>4291</v>
      </c>
      <c r="C675" t="e">
        <f>VLOOKUP(B675,'Waste Lookups'!$B$1:$C$292,2,FALSE)</f>
        <v>#N/A</v>
      </c>
      <c r="D675" s="84">
        <v>0</v>
      </c>
      <c r="E675" s="84">
        <v>270.54545454545456</v>
      </c>
      <c r="F675" s="84">
        <v>0</v>
      </c>
      <c r="G675" s="84">
        <v>0</v>
      </c>
      <c r="H675" s="84">
        <v>0</v>
      </c>
      <c r="I675" s="84"/>
      <c r="J675" s="84">
        <v>0</v>
      </c>
      <c r="K675" s="84">
        <v>214.28</v>
      </c>
      <c r="L675" s="84">
        <v>0</v>
      </c>
      <c r="M675" s="84">
        <v>0</v>
      </c>
      <c r="N675" s="84">
        <v>0</v>
      </c>
    </row>
    <row r="676" spans="1:14" x14ac:dyDescent="0.25">
      <c r="A676" s="74" t="s">
        <v>2111</v>
      </c>
      <c r="B676" s="74">
        <v>4300</v>
      </c>
      <c r="C676" t="e">
        <f>VLOOKUP(B676,'Waste Lookups'!$B$1:$C$292,2,FALSE)</f>
        <v>#N/A</v>
      </c>
      <c r="D676" s="84">
        <v>0</v>
      </c>
      <c r="E676" s="84">
        <v>850.90909090909088</v>
      </c>
      <c r="F676" s="84">
        <v>0</v>
      </c>
      <c r="G676" s="84">
        <v>0</v>
      </c>
      <c r="H676" s="84">
        <v>0</v>
      </c>
      <c r="I676" s="84"/>
      <c r="J676" s="84">
        <v>0</v>
      </c>
      <c r="K676" s="84">
        <v>695</v>
      </c>
      <c r="L676" s="84">
        <v>0</v>
      </c>
      <c r="M676" s="84">
        <v>0</v>
      </c>
      <c r="N676" s="84">
        <v>0</v>
      </c>
    </row>
    <row r="677" spans="1:14" x14ac:dyDescent="0.25">
      <c r="A677" s="74" t="s">
        <v>731</v>
      </c>
      <c r="B677" s="74">
        <v>4301</v>
      </c>
      <c r="C677" t="str">
        <f>VLOOKUP(B677,'Waste Lookups'!$B$1:$C$292,2,FALSE)</f>
        <v>White Rose House</v>
      </c>
      <c r="D677" s="84">
        <v>0</v>
      </c>
      <c r="E677" s="84">
        <v>1748.7272727272725</v>
      </c>
      <c r="F677" s="84">
        <v>0</v>
      </c>
      <c r="G677" s="84">
        <v>0</v>
      </c>
      <c r="H677" s="84">
        <v>0</v>
      </c>
      <c r="I677" s="84"/>
      <c r="J677" s="84">
        <v>0</v>
      </c>
      <c r="K677" s="84">
        <v>1538.39</v>
      </c>
      <c r="L677" s="84">
        <v>0</v>
      </c>
      <c r="M677" s="84">
        <v>0</v>
      </c>
      <c r="N677" s="84">
        <v>0</v>
      </c>
    </row>
    <row r="678" spans="1:14" x14ac:dyDescent="0.25">
      <c r="A678" s="74" t="s">
        <v>2114</v>
      </c>
      <c r="B678" s="74">
        <v>4318</v>
      </c>
      <c r="C678" t="e">
        <f>VLOOKUP(B678,'Waste Lookups'!$B$1:$C$292,2,FALSE)</f>
        <v>#N/A</v>
      </c>
      <c r="D678" s="84">
        <v>0</v>
      </c>
      <c r="E678" s="84">
        <v>5927.1163636363635</v>
      </c>
      <c r="F678" s="84">
        <v>0</v>
      </c>
      <c r="G678" s="84">
        <v>0</v>
      </c>
      <c r="H678" s="84">
        <v>0</v>
      </c>
      <c r="I678" s="84"/>
      <c r="J678" s="84">
        <v>0</v>
      </c>
      <c r="K678" s="84">
        <v>0</v>
      </c>
      <c r="L678" s="84">
        <v>0</v>
      </c>
      <c r="M678" s="84">
        <v>0</v>
      </c>
      <c r="N678" s="84">
        <v>0</v>
      </c>
    </row>
    <row r="679" spans="1:14" x14ac:dyDescent="0.25">
      <c r="A679" s="74" t="s">
        <v>2116</v>
      </c>
      <c r="B679" s="74">
        <v>4322</v>
      </c>
      <c r="C679" t="e">
        <f>VLOOKUP(B679,'Waste Lookups'!$B$1:$C$292,2,FALSE)</f>
        <v>#N/A</v>
      </c>
      <c r="D679" s="84">
        <v>0</v>
      </c>
      <c r="E679" s="84">
        <v>987.80727272727268</v>
      </c>
      <c r="F679" s="84">
        <v>0</v>
      </c>
      <c r="G679" s="84">
        <v>0</v>
      </c>
      <c r="H679" s="84">
        <v>0</v>
      </c>
      <c r="I679" s="84"/>
      <c r="J679" s="84">
        <v>0</v>
      </c>
      <c r="K679" s="84">
        <v>859.12</v>
      </c>
      <c r="L679" s="84">
        <v>0</v>
      </c>
      <c r="M679" s="84">
        <v>0</v>
      </c>
      <c r="N679" s="84">
        <v>0</v>
      </c>
    </row>
    <row r="680" spans="1:14" x14ac:dyDescent="0.25">
      <c r="A680" s="74" t="s">
        <v>732</v>
      </c>
      <c r="B680" s="74">
        <v>4325</v>
      </c>
      <c r="C680" t="str">
        <f>VLOOKUP(B680,'Waste Lookups'!$B$1:$C$292,2,FALSE)</f>
        <v>Oak House</v>
      </c>
      <c r="D680" s="84">
        <v>0</v>
      </c>
      <c r="E680" s="84">
        <v>3495.1527272727271</v>
      </c>
      <c r="F680" s="84">
        <v>0</v>
      </c>
      <c r="G680" s="84">
        <v>1106.1054545454544</v>
      </c>
      <c r="H680" s="84">
        <v>1268.5090909090909</v>
      </c>
      <c r="I680" s="84"/>
      <c r="J680" s="84">
        <v>0</v>
      </c>
      <c r="K680" s="84">
        <v>3378.1841597622579</v>
      </c>
      <c r="L680" s="84">
        <v>0</v>
      </c>
      <c r="M680" s="84">
        <v>1069.0885970204174</v>
      </c>
      <c r="N680" s="84">
        <v>1226.0572432173242</v>
      </c>
    </row>
    <row r="681" spans="1:14" x14ac:dyDescent="0.25">
      <c r="A681" s="74" t="s">
        <v>2119</v>
      </c>
      <c r="B681" s="74">
        <v>4327</v>
      </c>
      <c r="C681" t="e">
        <f>VLOOKUP(B681,'Waste Lookups'!$B$1:$C$292,2,FALSE)</f>
        <v>#N/A</v>
      </c>
      <c r="D681" s="84">
        <v>0</v>
      </c>
      <c r="E681" s="84">
        <v>3211.3963636363637</v>
      </c>
      <c r="F681" s="84">
        <v>0</v>
      </c>
      <c r="G681" s="84">
        <v>0</v>
      </c>
      <c r="H681" s="84">
        <v>0</v>
      </c>
      <c r="I681" s="84"/>
      <c r="J681" s="84">
        <v>0</v>
      </c>
      <c r="K681" s="84">
        <v>7348.59</v>
      </c>
      <c r="L681" s="84">
        <v>0</v>
      </c>
      <c r="M681" s="84">
        <v>0</v>
      </c>
      <c r="N681" s="84">
        <v>0</v>
      </c>
    </row>
    <row r="682" spans="1:14" x14ac:dyDescent="0.25">
      <c r="A682" s="74" t="s">
        <v>2121</v>
      </c>
      <c r="B682" s="74">
        <v>4329</v>
      </c>
      <c r="C682" t="e">
        <f>VLOOKUP(B682,'Waste Lookups'!$B$1:$C$292,2,FALSE)</f>
        <v>#N/A</v>
      </c>
      <c r="D682" s="84">
        <v>0</v>
      </c>
      <c r="E682" s="84">
        <v>1595.5090909090909</v>
      </c>
      <c r="F682" s="84">
        <v>0</v>
      </c>
      <c r="G682" s="84">
        <v>0</v>
      </c>
      <c r="H682" s="84">
        <v>0</v>
      </c>
      <c r="I682" s="84"/>
      <c r="J682" s="84">
        <v>0</v>
      </c>
      <c r="K682" s="84">
        <v>1682.82</v>
      </c>
      <c r="L682" s="84">
        <v>0</v>
      </c>
      <c r="M682" s="84">
        <v>0</v>
      </c>
      <c r="N682" s="84">
        <v>0</v>
      </c>
    </row>
    <row r="683" spans="1:14" x14ac:dyDescent="0.25">
      <c r="A683" s="74" t="s">
        <v>2123</v>
      </c>
      <c r="B683" s="74">
        <v>4331</v>
      </c>
      <c r="C683" t="e">
        <f>VLOOKUP(B683,'Waste Lookups'!$B$1:$C$292,2,FALSE)</f>
        <v>#N/A</v>
      </c>
      <c r="D683" s="84">
        <v>0</v>
      </c>
      <c r="E683" s="84">
        <v>878.07272727272721</v>
      </c>
      <c r="F683" s="84">
        <v>0</v>
      </c>
      <c r="G683" s="84">
        <v>0</v>
      </c>
      <c r="H683" s="84">
        <v>0</v>
      </c>
      <c r="I683" s="84"/>
      <c r="J683" s="84">
        <v>0</v>
      </c>
      <c r="K683" s="84">
        <v>838.01</v>
      </c>
      <c r="L683" s="84">
        <v>0</v>
      </c>
      <c r="M683" s="84">
        <v>0</v>
      </c>
      <c r="N683" s="84">
        <v>0</v>
      </c>
    </row>
    <row r="684" spans="1:14" x14ac:dyDescent="0.25">
      <c r="A684" s="74" t="s">
        <v>2125</v>
      </c>
      <c r="B684" s="74">
        <v>4332</v>
      </c>
      <c r="C684" t="e">
        <f>VLOOKUP(B684,'Waste Lookups'!$B$1:$C$292,2,FALSE)</f>
        <v>#N/A</v>
      </c>
      <c r="D684" s="84">
        <v>0</v>
      </c>
      <c r="E684" s="84">
        <v>256.84363636363634</v>
      </c>
      <c r="F684" s="84">
        <v>0</v>
      </c>
      <c r="G684" s="84">
        <v>0</v>
      </c>
      <c r="H684" s="84">
        <v>0</v>
      </c>
      <c r="I684" s="84"/>
      <c r="J684" s="84">
        <v>0</v>
      </c>
      <c r="K684" s="84">
        <v>0</v>
      </c>
      <c r="L684" s="84">
        <v>0</v>
      </c>
      <c r="M684" s="84">
        <v>0</v>
      </c>
      <c r="N684" s="84">
        <v>0</v>
      </c>
    </row>
    <row r="685" spans="1:14" x14ac:dyDescent="0.25">
      <c r="A685" s="74" t="s">
        <v>2127</v>
      </c>
      <c r="B685" s="74">
        <v>4333</v>
      </c>
      <c r="C685" t="e">
        <f>VLOOKUP(B685,'Waste Lookups'!$B$1:$C$292,2,FALSE)</f>
        <v>#N/A</v>
      </c>
      <c r="D685" s="84">
        <v>0</v>
      </c>
      <c r="E685" s="84">
        <v>7714.5163636363632</v>
      </c>
      <c r="F685" s="84">
        <v>0</v>
      </c>
      <c r="G685" s="84">
        <v>532.13454545454545</v>
      </c>
      <c r="H685" s="84">
        <v>0</v>
      </c>
      <c r="I685" s="84"/>
      <c r="J685" s="84">
        <v>0</v>
      </c>
      <c r="K685" s="84">
        <v>9475.131165233357</v>
      </c>
      <c r="L685" s="84">
        <v>0</v>
      </c>
      <c r="M685" s="84">
        <v>653.57883476664233</v>
      </c>
      <c r="N685" s="84">
        <v>0</v>
      </c>
    </row>
    <row r="686" spans="1:14" x14ac:dyDescent="0.25">
      <c r="A686" s="74" t="s">
        <v>2129</v>
      </c>
      <c r="B686" s="74">
        <v>4335</v>
      </c>
      <c r="C686" t="e">
        <f>VLOOKUP(B686,'Waste Lookups'!$B$1:$C$292,2,FALSE)</f>
        <v>#N/A</v>
      </c>
      <c r="D686" s="84">
        <v>0</v>
      </c>
      <c r="E686" s="84">
        <v>987.81818181818176</v>
      </c>
      <c r="F686" s="84">
        <v>0</v>
      </c>
      <c r="G686" s="84">
        <v>0</v>
      </c>
      <c r="H686" s="84">
        <v>0</v>
      </c>
      <c r="I686" s="84"/>
      <c r="J686" s="84">
        <v>0</v>
      </c>
      <c r="K686" s="84">
        <v>940.36</v>
      </c>
      <c r="L686" s="84">
        <v>0</v>
      </c>
      <c r="M686" s="84">
        <v>0</v>
      </c>
      <c r="N686" s="84">
        <v>0</v>
      </c>
    </row>
    <row r="687" spans="1:14" x14ac:dyDescent="0.25">
      <c r="A687" s="74" t="s">
        <v>2131</v>
      </c>
      <c r="B687" s="74">
        <v>4337</v>
      </c>
      <c r="C687" t="e">
        <f>VLOOKUP(B687,'Waste Lookups'!$B$1:$C$292,2,FALSE)</f>
        <v>#N/A</v>
      </c>
      <c r="D687" s="84">
        <v>0</v>
      </c>
      <c r="E687" s="84">
        <v>1912.6472727272726</v>
      </c>
      <c r="F687" s="84">
        <v>0</v>
      </c>
      <c r="G687" s="84">
        <v>0</v>
      </c>
      <c r="H687" s="84">
        <v>0</v>
      </c>
      <c r="I687" s="84"/>
      <c r="J687" s="84">
        <v>0</v>
      </c>
      <c r="K687" s="84">
        <v>2041.68</v>
      </c>
      <c r="L687" s="84">
        <v>0</v>
      </c>
      <c r="M687" s="84">
        <v>0</v>
      </c>
      <c r="N687" s="84">
        <v>0</v>
      </c>
    </row>
    <row r="688" spans="1:14" x14ac:dyDescent="0.25">
      <c r="A688" s="74" t="s">
        <v>2133</v>
      </c>
      <c r="B688" s="74">
        <v>4338</v>
      </c>
      <c r="C688" t="e">
        <f>VLOOKUP(B688,'Waste Lookups'!$B$1:$C$292,2,FALSE)</f>
        <v>#N/A</v>
      </c>
      <c r="D688" s="84">
        <v>0</v>
      </c>
      <c r="E688" s="84">
        <v>1942.0363636363636</v>
      </c>
      <c r="F688" s="84">
        <v>0</v>
      </c>
      <c r="G688" s="84">
        <v>455.89090909090908</v>
      </c>
      <c r="H688" s="84">
        <v>0</v>
      </c>
      <c r="I688" s="84"/>
      <c r="J688" s="84">
        <v>0</v>
      </c>
      <c r="K688" s="84">
        <v>1697.721692370684</v>
      </c>
      <c r="L688" s="84">
        <v>0</v>
      </c>
      <c r="M688" s="84">
        <v>398.53830762931625</v>
      </c>
      <c r="N688" s="84">
        <v>0</v>
      </c>
    </row>
    <row r="689" spans="1:14" x14ac:dyDescent="0.25">
      <c r="A689" s="74" t="s">
        <v>2135</v>
      </c>
      <c r="B689" s="74">
        <v>4354</v>
      </c>
      <c r="C689" t="e">
        <f>VLOOKUP(B689,'Waste Lookups'!$B$1:$C$292,2,FALSE)</f>
        <v>#N/A</v>
      </c>
      <c r="D689" s="84">
        <v>0</v>
      </c>
      <c r="E689" s="84">
        <v>33.81818181818182</v>
      </c>
      <c r="F689" s="84">
        <v>0</v>
      </c>
      <c r="G689" s="84">
        <v>0</v>
      </c>
      <c r="H689" s="84">
        <v>0</v>
      </c>
      <c r="I689" s="84"/>
      <c r="J689" s="84">
        <v>0</v>
      </c>
      <c r="K689" s="84">
        <v>0</v>
      </c>
      <c r="L689" s="84">
        <v>0</v>
      </c>
      <c r="M689" s="84">
        <v>0</v>
      </c>
      <c r="N689" s="84">
        <v>0</v>
      </c>
    </row>
    <row r="690" spans="1:14" x14ac:dyDescent="0.25">
      <c r="A690" s="74" t="s">
        <v>2137</v>
      </c>
      <c r="B690" s="74">
        <v>4357</v>
      </c>
      <c r="C690" t="e">
        <f>VLOOKUP(B690,'Waste Lookups'!$B$1:$C$292,2,FALSE)</f>
        <v>#N/A</v>
      </c>
      <c r="D690" s="84">
        <v>0</v>
      </c>
      <c r="E690" s="84">
        <v>21.818181818181817</v>
      </c>
      <c r="F690" s="84">
        <v>0</v>
      </c>
      <c r="G690" s="84">
        <v>0</v>
      </c>
      <c r="H690" s="84">
        <v>0</v>
      </c>
      <c r="I690" s="84"/>
      <c r="J690" s="84">
        <v>0</v>
      </c>
      <c r="K690" s="84">
        <v>0</v>
      </c>
      <c r="L690" s="84">
        <v>0</v>
      </c>
      <c r="M690" s="84">
        <v>0</v>
      </c>
      <c r="N690" s="84">
        <v>0</v>
      </c>
    </row>
    <row r="691" spans="1:14" x14ac:dyDescent="0.25">
      <c r="A691" s="74" t="s">
        <v>2139</v>
      </c>
      <c r="B691" s="74">
        <v>4365</v>
      </c>
      <c r="C691" t="e">
        <f>VLOOKUP(B691,'Waste Lookups'!$B$1:$C$292,2,FALSE)</f>
        <v>#N/A</v>
      </c>
      <c r="D691" s="84">
        <v>0</v>
      </c>
      <c r="E691" s="84">
        <v>360</v>
      </c>
      <c r="F691" s="84">
        <v>0</v>
      </c>
      <c r="G691" s="84">
        <v>0</v>
      </c>
      <c r="H691" s="84">
        <v>0</v>
      </c>
      <c r="I691" s="84"/>
      <c r="J691" s="84">
        <v>0</v>
      </c>
      <c r="K691" s="84">
        <v>0</v>
      </c>
      <c r="L691" s="84">
        <v>0</v>
      </c>
      <c r="M691" s="84">
        <v>0</v>
      </c>
      <c r="N691" s="84">
        <v>0</v>
      </c>
    </row>
    <row r="692" spans="1:14" x14ac:dyDescent="0.25">
      <c r="A692" s="74" t="s">
        <v>2141</v>
      </c>
      <c r="B692" s="74">
        <v>4367</v>
      </c>
      <c r="C692" t="e">
        <f>VLOOKUP(B692,'Waste Lookups'!$B$1:$C$292,2,FALSE)</f>
        <v>#N/A</v>
      </c>
      <c r="D692" s="84">
        <v>46.909090909090907</v>
      </c>
      <c r="E692" s="84">
        <v>368.72727272727275</v>
      </c>
      <c r="F692" s="84">
        <v>0</v>
      </c>
      <c r="G692" s="84">
        <v>0</v>
      </c>
      <c r="H692" s="84">
        <v>0</v>
      </c>
      <c r="I692" s="84"/>
      <c r="J692" s="84">
        <v>6.5323884514435697</v>
      </c>
      <c r="K692" s="84">
        <v>51.347611548556443</v>
      </c>
      <c r="L692" s="84">
        <v>0</v>
      </c>
      <c r="M692" s="84">
        <v>0</v>
      </c>
      <c r="N692" s="84">
        <v>0</v>
      </c>
    </row>
    <row r="693" spans="1:14" x14ac:dyDescent="0.25">
      <c r="A693" s="74" t="s">
        <v>2143</v>
      </c>
      <c r="B693" s="74">
        <v>4369</v>
      </c>
      <c r="C693" t="e">
        <f>VLOOKUP(B693,'Waste Lookups'!$B$1:$C$292,2,FALSE)</f>
        <v>#N/A</v>
      </c>
      <c r="D693" s="84">
        <v>41.454545454545453</v>
      </c>
      <c r="E693" s="84">
        <v>430.90909090909088</v>
      </c>
      <c r="F693" s="84">
        <v>0</v>
      </c>
      <c r="G693" s="84">
        <v>0</v>
      </c>
      <c r="H693" s="84">
        <v>0</v>
      </c>
      <c r="I693" s="84"/>
      <c r="J693" s="84">
        <v>0</v>
      </c>
      <c r="K693" s="84">
        <v>0</v>
      </c>
      <c r="L693" s="84">
        <v>0</v>
      </c>
      <c r="M693" s="84">
        <v>0</v>
      </c>
      <c r="N693" s="84">
        <v>0</v>
      </c>
    </row>
    <row r="694" spans="1:14" x14ac:dyDescent="0.25">
      <c r="A694" s="74" t="s">
        <v>2145</v>
      </c>
      <c r="B694" s="74">
        <v>4373</v>
      </c>
      <c r="C694" t="e">
        <f>VLOOKUP(B694,'Waste Lookups'!$B$1:$C$292,2,FALSE)</f>
        <v>#N/A</v>
      </c>
      <c r="D694" s="84">
        <v>0</v>
      </c>
      <c r="E694" s="84">
        <v>225.95999999999998</v>
      </c>
      <c r="F694" s="84">
        <v>0</v>
      </c>
      <c r="G694" s="84">
        <v>0</v>
      </c>
      <c r="H694" s="84">
        <v>0</v>
      </c>
      <c r="I694" s="84"/>
      <c r="J694" s="84">
        <v>0</v>
      </c>
      <c r="K694" s="84">
        <v>284.77999999999997</v>
      </c>
      <c r="L694" s="84">
        <v>0</v>
      </c>
      <c r="M694" s="84">
        <v>0</v>
      </c>
      <c r="N694" s="84">
        <v>0</v>
      </c>
    </row>
    <row r="695" spans="1:14" x14ac:dyDescent="0.25">
      <c r="A695" s="74" t="s">
        <v>2147</v>
      </c>
      <c r="B695" s="74">
        <v>4451</v>
      </c>
      <c r="C695" t="e">
        <f>VLOOKUP(B695,'Waste Lookups'!$B$1:$C$292,2,FALSE)</f>
        <v>#N/A</v>
      </c>
      <c r="D695" s="84">
        <v>0</v>
      </c>
      <c r="E695" s="84">
        <v>595.08000000000004</v>
      </c>
      <c r="F695" s="84">
        <v>0</v>
      </c>
      <c r="G695" s="84">
        <v>0</v>
      </c>
      <c r="H695" s="84">
        <v>0</v>
      </c>
      <c r="I695" s="84"/>
      <c r="J695" s="84">
        <v>0</v>
      </c>
      <c r="K695" s="84">
        <v>0</v>
      </c>
      <c r="L695" s="84">
        <v>0</v>
      </c>
      <c r="M695" s="84">
        <v>0</v>
      </c>
      <c r="N695" s="84">
        <v>0</v>
      </c>
    </row>
    <row r="696" spans="1:14" x14ac:dyDescent="0.25">
      <c r="A696" s="74" t="s">
        <v>2149</v>
      </c>
      <c r="B696" s="74">
        <v>4452</v>
      </c>
      <c r="C696" t="e">
        <f>VLOOKUP(B696,'Waste Lookups'!$B$1:$C$292,2,FALSE)</f>
        <v>#N/A</v>
      </c>
      <c r="D696" s="84">
        <v>954.06545454545449</v>
      </c>
      <c r="E696" s="84">
        <v>1586.88</v>
      </c>
      <c r="F696" s="84">
        <v>0</v>
      </c>
      <c r="G696" s="84">
        <v>0</v>
      </c>
      <c r="H696" s="84">
        <v>0</v>
      </c>
      <c r="I696" s="84"/>
      <c r="J696" s="84">
        <v>624.2936094796496</v>
      </c>
      <c r="K696" s="84">
        <v>1038.3763905203505</v>
      </c>
      <c r="L696" s="84">
        <v>0</v>
      </c>
      <c r="M696" s="84">
        <v>0</v>
      </c>
      <c r="N696" s="84">
        <v>0</v>
      </c>
    </row>
    <row r="697" spans="1:14" x14ac:dyDescent="0.25">
      <c r="A697" s="74" t="s">
        <v>2151</v>
      </c>
      <c r="B697" s="74">
        <v>4453</v>
      </c>
      <c r="C697" t="e">
        <f>VLOOKUP(B697,'Waste Lookups'!$B$1:$C$292,2,FALSE)</f>
        <v>#N/A</v>
      </c>
      <c r="D697" s="84">
        <v>924.32727272727266</v>
      </c>
      <c r="E697" s="84">
        <v>0</v>
      </c>
      <c r="F697" s="84">
        <v>0</v>
      </c>
      <c r="G697" s="84">
        <v>0</v>
      </c>
      <c r="H697" s="84">
        <v>0</v>
      </c>
      <c r="I697" s="84"/>
      <c r="J697" s="84">
        <v>1185.3699999999999</v>
      </c>
      <c r="K697" s="84">
        <v>0</v>
      </c>
      <c r="L697" s="84">
        <v>0</v>
      </c>
      <c r="M697" s="84">
        <v>0</v>
      </c>
      <c r="N697" s="84">
        <v>0</v>
      </c>
    </row>
    <row r="698" spans="1:14" x14ac:dyDescent="0.25">
      <c r="A698" s="74" t="s">
        <v>740</v>
      </c>
      <c r="B698" s="74">
        <v>4456</v>
      </c>
      <c r="C698" t="str">
        <f>VLOOKUP(B698,'Waste Lookups'!$B$1:$C$292,2,FALSE)</f>
        <v>Douglas Mill (2nd Floor)</v>
      </c>
      <c r="D698" s="84">
        <v>0</v>
      </c>
      <c r="E698" s="84">
        <v>5727.9163636363637</v>
      </c>
      <c r="F698" s="84">
        <v>0</v>
      </c>
      <c r="G698" s="84">
        <v>500.59636363636366</v>
      </c>
      <c r="H698" s="84">
        <v>4004.7381818181821</v>
      </c>
      <c r="I698" s="84"/>
      <c r="J698" s="84">
        <v>0</v>
      </c>
      <c r="K698" s="84">
        <v>5896.6370016459714</v>
      </c>
      <c r="L698" s="84">
        <v>0</v>
      </c>
      <c r="M698" s="84">
        <v>515.34185440403905</v>
      </c>
      <c r="N698" s="84">
        <v>4122.7011439499902</v>
      </c>
    </row>
    <row r="699" spans="1:14" x14ac:dyDescent="0.25">
      <c r="A699" s="74" t="s">
        <v>2154</v>
      </c>
      <c r="B699" s="74">
        <v>4459</v>
      </c>
      <c r="C699" t="e">
        <f>VLOOKUP(B699,'Waste Lookups'!$B$1:$C$292,2,FALSE)</f>
        <v>#N/A</v>
      </c>
      <c r="D699" s="84">
        <v>363.26181818181817</v>
      </c>
      <c r="E699" s="84">
        <v>661.2</v>
      </c>
      <c r="F699" s="84">
        <v>0</v>
      </c>
      <c r="G699" s="84">
        <v>0</v>
      </c>
      <c r="H699" s="84">
        <v>0</v>
      </c>
      <c r="I699" s="84"/>
      <c r="J699" s="84">
        <v>164.33733231106709</v>
      </c>
      <c r="K699" s="84">
        <v>299.12266768893289</v>
      </c>
      <c r="L699" s="84">
        <v>0</v>
      </c>
      <c r="M699" s="84">
        <v>0</v>
      </c>
      <c r="N699" s="84">
        <v>0</v>
      </c>
    </row>
    <row r="700" spans="1:14" x14ac:dyDescent="0.25">
      <c r="A700" s="74" t="s">
        <v>2156</v>
      </c>
      <c r="B700" s="74">
        <v>4460</v>
      </c>
      <c r="C700" t="e">
        <f>VLOOKUP(B700,'Waste Lookups'!$B$1:$C$292,2,FALSE)</f>
        <v>#N/A</v>
      </c>
      <c r="D700" s="84">
        <v>0</v>
      </c>
      <c r="E700" s="84">
        <v>1785.2400000000002</v>
      </c>
      <c r="F700" s="84">
        <v>0</v>
      </c>
      <c r="G700" s="84">
        <v>0</v>
      </c>
      <c r="H700" s="84">
        <v>0</v>
      </c>
      <c r="I700" s="84"/>
      <c r="J700" s="84">
        <v>0</v>
      </c>
      <c r="K700" s="84">
        <v>0</v>
      </c>
      <c r="L700" s="84">
        <v>0</v>
      </c>
      <c r="M700" s="84">
        <v>0</v>
      </c>
      <c r="N700" s="84">
        <v>0</v>
      </c>
    </row>
    <row r="701" spans="1:14" x14ac:dyDescent="0.25">
      <c r="A701" s="74" t="s">
        <v>2158</v>
      </c>
      <c r="B701" s="74">
        <v>4462</v>
      </c>
      <c r="C701" t="e">
        <f>VLOOKUP(B701,'Waste Lookups'!$B$1:$C$292,2,FALSE)</f>
        <v>#N/A</v>
      </c>
      <c r="D701" s="84">
        <v>0</v>
      </c>
      <c r="E701" s="84">
        <v>595.08000000000004</v>
      </c>
      <c r="F701" s="84">
        <v>0</v>
      </c>
      <c r="G701" s="84">
        <v>0</v>
      </c>
      <c r="H701" s="84">
        <v>0</v>
      </c>
      <c r="I701" s="84"/>
      <c r="J701" s="84">
        <v>0</v>
      </c>
      <c r="K701" s="84">
        <v>0</v>
      </c>
      <c r="L701" s="84">
        <v>0</v>
      </c>
      <c r="M701" s="84">
        <v>0</v>
      </c>
      <c r="N701" s="84">
        <v>0</v>
      </c>
    </row>
    <row r="702" spans="1:14" x14ac:dyDescent="0.25">
      <c r="A702" s="74" t="s">
        <v>2160</v>
      </c>
      <c r="B702" s="74">
        <v>4463</v>
      </c>
      <c r="C702" t="e">
        <f>VLOOKUP(B702,'Waste Lookups'!$B$1:$C$292,2,FALSE)</f>
        <v>#N/A</v>
      </c>
      <c r="D702" s="84">
        <v>316.63636363636363</v>
      </c>
      <c r="E702" s="84">
        <v>0</v>
      </c>
      <c r="F702" s="84">
        <v>0</v>
      </c>
      <c r="G702" s="84">
        <v>0</v>
      </c>
      <c r="H702" s="84">
        <v>0</v>
      </c>
      <c r="I702" s="84"/>
      <c r="J702" s="84">
        <v>407</v>
      </c>
      <c r="K702" s="84">
        <v>0</v>
      </c>
      <c r="L702" s="84">
        <v>0</v>
      </c>
      <c r="M702" s="84">
        <v>0</v>
      </c>
      <c r="N702" s="84">
        <v>0</v>
      </c>
    </row>
    <row r="703" spans="1:14" x14ac:dyDescent="0.25">
      <c r="A703" s="74" t="s">
        <v>2162</v>
      </c>
      <c r="B703" s="74">
        <v>4464</v>
      </c>
      <c r="C703" t="e">
        <f>VLOOKUP(B703,'Waste Lookups'!$B$1:$C$292,2,FALSE)</f>
        <v>#N/A</v>
      </c>
      <c r="D703" s="84">
        <v>0</v>
      </c>
      <c r="E703" s="84">
        <v>180.32727272727274</v>
      </c>
      <c r="F703" s="84">
        <v>0</v>
      </c>
      <c r="G703" s="84">
        <v>0</v>
      </c>
      <c r="H703" s="84">
        <v>0</v>
      </c>
      <c r="I703" s="84"/>
      <c r="J703" s="84">
        <v>0</v>
      </c>
      <c r="K703" s="84">
        <v>0</v>
      </c>
      <c r="L703" s="84">
        <v>0</v>
      </c>
      <c r="M703" s="84">
        <v>0</v>
      </c>
      <c r="N703" s="84">
        <v>0</v>
      </c>
    </row>
    <row r="704" spans="1:14" x14ac:dyDescent="0.25">
      <c r="A704" s="74" t="s">
        <v>2164</v>
      </c>
      <c r="B704" s="74">
        <v>4465</v>
      </c>
      <c r="C704" t="e">
        <f>VLOOKUP(B704,'Waste Lookups'!$B$1:$C$292,2,FALSE)</f>
        <v>#N/A</v>
      </c>
      <c r="D704" s="84">
        <v>557.72727272727275</v>
      </c>
      <c r="E704" s="84">
        <v>480.87272727272727</v>
      </c>
      <c r="F704" s="84">
        <v>0</v>
      </c>
      <c r="G704" s="84">
        <v>0</v>
      </c>
      <c r="H704" s="84">
        <v>0</v>
      </c>
      <c r="I704" s="84"/>
      <c r="J704" s="84">
        <v>319.67019851898539</v>
      </c>
      <c r="K704" s="84">
        <v>275.61980148101463</v>
      </c>
      <c r="L704" s="84">
        <v>0</v>
      </c>
      <c r="M704" s="84">
        <v>0</v>
      </c>
      <c r="N704" s="84">
        <v>0</v>
      </c>
    </row>
    <row r="705" spans="1:14" x14ac:dyDescent="0.25">
      <c r="A705" s="74" t="s">
        <v>2166</v>
      </c>
      <c r="B705" s="74">
        <v>4467</v>
      </c>
      <c r="C705" t="e">
        <f>VLOOKUP(B705,'Waste Lookups'!$B$1:$C$292,2,FALSE)</f>
        <v>#N/A</v>
      </c>
      <c r="D705" s="84">
        <v>1108.0472727272727</v>
      </c>
      <c r="E705" s="84">
        <v>0</v>
      </c>
      <c r="F705" s="84">
        <v>0</v>
      </c>
      <c r="G705" s="84">
        <v>0</v>
      </c>
      <c r="H705" s="84">
        <v>0</v>
      </c>
      <c r="I705" s="84"/>
      <c r="J705" s="84">
        <v>1098.78</v>
      </c>
      <c r="K705" s="84">
        <v>0</v>
      </c>
      <c r="L705" s="84">
        <v>0</v>
      </c>
      <c r="M705" s="84">
        <v>0</v>
      </c>
      <c r="N705" s="84">
        <v>0</v>
      </c>
    </row>
    <row r="706" spans="1:14" x14ac:dyDescent="0.25">
      <c r="A706" s="74" t="s">
        <v>741</v>
      </c>
      <c r="B706" s="74">
        <v>4468</v>
      </c>
      <c r="C706" t="str">
        <f>VLOOKUP(B706,'Waste Lookups'!$B$1:$C$292,2,FALSE)</f>
        <v>Holmewood Health Centre</v>
      </c>
      <c r="D706" s="84">
        <v>794.52</v>
      </c>
      <c r="E706" s="84">
        <v>779.0181818181818</v>
      </c>
      <c r="F706" s="84">
        <v>0</v>
      </c>
      <c r="G706" s="84">
        <v>294.54545454545456</v>
      </c>
      <c r="H706" s="84">
        <v>117.84</v>
      </c>
      <c r="I706" s="84"/>
      <c r="J706" s="84">
        <v>624.8704002900414</v>
      </c>
      <c r="K706" s="84">
        <v>612.6786023082459</v>
      </c>
      <c r="L706" s="84">
        <v>0</v>
      </c>
      <c r="M706" s="84">
        <v>231.65274138527712</v>
      </c>
      <c r="N706" s="84">
        <v>92.678256016435697</v>
      </c>
    </row>
    <row r="707" spans="1:14" x14ac:dyDescent="0.25">
      <c r="A707" s="74" t="s">
        <v>2169</v>
      </c>
      <c r="B707" s="74">
        <v>4469</v>
      </c>
      <c r="C707" t="e">
        <f>VLOOKUP(B707,'Waste Lookups'!$B$1:$C$292,2,FALSE)</f>
        <v>#N/A</v>
      </c>
      <c r="D707" s="84">
        <v>1548.6763636363635</v>
      </c>
      <c r="E707" s="84">
        <v>1322.4</v>
      </c>
      <c r="F707" s="84">
        <v>0</v>
      </c>
      <c r="G707" s="84">
        <v>0</v>
      </c>
      <c r="H707" s="84">
        <v>0</v>
      </c>
      <c r="I707" s="84"/>
      <c r="J707" s="84">
        <v>1008.5223601158134</v>
      </c>
      <c r="K707" s="84">
        <v>861.16763988418677</v>
      </c>
      <c r="L707" s="84">
        <v>0</v>
      </c>
      <c r="M707" s="84">
        <v>0</v>
      </c>
      <c r="N707" s="84">
        <v>0</v>
      </c>
    </row>
    <row r="708" spans="1:14" x14ac:dyDescent="0.25">
      <c r="A708" s="74" t="s">
        <v>2171</v>
      </c>
      <c r="B708" s="74">
        <v>4470</v>
      </c>
      <c r="C708" t="e">
        <f>VLOOKUP(B708,'Waste Lookups'!$B$1:$C$292,2,FALSE)</f>
        <v>#N/A</v>
      </c>
      <c r="D708" s="84">
        <v>1374.0218181818182</v>
      </c>
      <c r="E708" s="84">
        <v>1124.04</v>
      </c>
      <c r="F708" s="84">
        <v>0</v>
      </c>
      <c r="G708" s="84">
        <v>0</v>
      </c>
      <c r="H708" s="84">
        <v>0</v>
      </c>
      <c r="I708" s="84"/>
      <c r="J708" s="84">
        <v>888.16926577259176</v>
      </c>
      <c r="K708" s="84">
        <v>726.58073422740824</v>
      </c>
      <c r="L708" s="84">
        <v>0</v>
      </c>
      <c r="M708" s="84">
        <v>0</v>
      </c>
      <c r="N708" s="84">
        <v>0</v>
      </c>
    </row>
    <row r="709" spans="1:14" x14ac:dyDescent="0.25">
      <c r="A709" s="74" t="s">
        <v>2173</v>
      </c>
      <c r="B709" s="74">
        <v>4471</v>
      </c>
      <c r="C709" t="e">
        <f>VLOOKUP(B709,'Waste Lookups'!$B$1:$C$292,2,FALSE)</f>
        <v>#N/A</v>
      </c>
      <c r="D709" s="84">
        <v>0</v>
      </c>
      <c r="E709" s="84">
        <v>435.48</v>
      </c>
      <c r="F709" s="84">
        <v>0</v>
      </c>
      <c r="G709" s="84">
        <v>0</v>
      </c>
      <c r="H709" s="84">
        <v>0</v>
      </c>
      <c r="I709" s="84"/>
      <c r="J709" s="84">
        <v>0</v>
      </c>
      <c r="K709" s="84">
        <v>0</v>
      </c>
      <c r="L709" s="84">
        <v>0</v>
      </c>
      <c r="M709" s="84">
        <v>0</v>
      </c>
      <c r="N709" s="84">
        <v>0</v>
      </c>
    </row>
    <row r="710" spans="1:14" x14ac:dyDescent="0.25">
      <c r="A710" s="74" t="s">
        <v>2175</v>
      </c>
      <c r="B710" s="74">
        <v>4477</v>
      </c>
      <c r="C710" t="e">
        <f>VLOOKUP(B710,'Waste Lookups'!$B$1:$C$292,2,FALSE)</f>
        <v>#N/A</v>
      </c>
      <c r="D710" s="84">
        <v>1025.7054545454546</v>
      </c>
      <c r="E710" s="84">
        <v>595.08000000000004</v>
      </c>
      <c r="F710" s="84">
        <v>0</v>
      </c>
      <c r="G710" s="84">
        <v>0</v>
      </c>
      <c r="H710" s="84">
        <v>0</v>
      </c>
      <c r="I710" s="84"/>
      <c r="J710" s="84">
        <v>1628.9738520717228</v>
      </c>
      <c r="K710" s="84">
        <v>945.07614792827724</v>
      </c>
      <c r="L710" s="84">
        <v>0</v>
      </c>
      <c r="M710" s="84">
        <v>0</v>
      </c>
      <c r="N710" s="84">
        <v>0</v>
      </c>
    </row>
    <row r="711" spans="1:14" x14ac:dyDescent="0.25">
      <c r="A711" s="74" t="s">
        <v>2177</v>
      </c>
      <c r="B711" s="74">
        <v>4479</v>
      </c>
      <c r="C711" t="e">
        <f>VLOOKUP(B711,'Waste Lookups'!$B$1:$C$292,2,FALSE)</f>
        <v>#N/A</v>
      </c>
      <c r="D711" s="84">
        <v>127.50545454545454</v>
      </c>
      <c r="E711" s="84">
        <v>639.12</v>
      </c>
      <c r="F711" s="84">
        <v>0</v>
      </c>
      <c r="G711" s="84">
        <v>0</v>
      </c>
      <c r="H711" s="84">
        <v>0</v>
      </c>
      <c r="I711" s="84"/>
      <c r="J711" s="84">
        <v>29.407110453368244</v>
      </c>
      <c r="K711" s="84">
        <v>147.40288954663174</v>
      </c>
      <c r="L711" s="84">
        <v>0</v>
      </c>
      <c r="M711" s="84">
        <v>0</v>
      </c>
      <c r="N711" s="84">
        <v>0</v>
      </c>
    </row>
    <row r="712" spans="1:14" x14ac:dyDescent="0.25">
      <c r="A712" s="74" t="s">
        <v>2179</v>
      </c>
      <c r="B712" s="74">
        <v>4481</v>
      </c>
      <c r="C712" t="e">
        <f>VLOOKUP(B712,'Waste Lookups'!$B$1:$C$292,2,FALSE)</f>
        <v>#N/A</v>
      </c>
      <c r="D712" s="84">
        <v>0</v>
      </c>
      <c r="E712" s="84">
        <v>661.2</v>
      </c>
      <c r="F712" s="84">
        <v>0</v>
      </c>
      <c r="G712" s="84">
        <v>0</v>
      </c>
      <c r="H712" s="84">
        <v>0</v>
      </c>
      <c r="I712" s="84"/>
      <c r="J712" s="84">
        <v>0</v>
      </c>
      <c r="K712" s="84">
        <v>0</v>
      </c>
      <c r="L712" s="84">
        <v>0</v>
      </c>
      <c r="M712" s="84">
        <v>0</v>
      </c>
      <c r="N712" s="84">
        <v>0</v>
      </c>
    </row>
    <row r="713" spans="1:14" x14ac:dyDescent="0.25">
      <c r="A713" s="74" t="s">
        <v>2181</v>
      </c>
      <c r="B713" s="74">
        <v>4483</v>
      </c>
      <c r="C713" t="e">
        <f>VLOOKUP(B713,'Waste Lookups'!$B$1:$C$292,2,FALSE)</f>
        <v>#N/A</v>
      </c>
      <c r="D713" s="84">
        <v>1313.9127272727274</v>
      </c>
      <c r="E713" s="84">
        <v>344.64000000000004</v>
      </c>
      <c r="F713" s="84">
        <v>0</v>
      </c>
      <c r="G713" s="84">
        <v>0</v>
      </c>
      <c r="H713" s="84">
        <v>0</v>
      </c>
      <c r="I713" s="84"/>
      <c r="J713" s="84">
        <v>1078.2376870963074</v>
      </c>
      <c r="K713" s="84">
        <v>282.82231290369259</v>
      </c>
      <c r="L713" s="84">
        <v>0</v>
      </c>
      <c r="M713" s="84">
        <v>0</v>
      </c>
      <c r="N713" s="84">
        <v>0</v>
      </c>
    </row>
    <row r="714" spans="1:14" x14ac:dyDescent="0.25">
      <c r="A714" s="74" t="s">
        <v>2183</v>
      </c>
      <c r="B714" s="74">
        <v>4487</v>
      </c>
      <c r="C714" t="e">
        <f>VLOOKUP(B714,'Waste Lookups'!$B$1:$C$292,2,FALSE)</f>
        <v>#N/A</v>
      </c>
      <c r="D714" s="84">
        <v>1279.1127272727272</v>
      </c>
      <c r="E714" s="84">
        <v>700.4727272727273</v>
      </c>
      <c r="F714" s="84">
        <v>0</v>
      </c>
      <c r="G714" s="84">
        <v>78.545454545454547</v>
      </c>
      <c r="H714" s="84">
        <v>39.272727272727273</v>
      </c>
      <c r="I714" s="84"/>
      <c r="J714" s="84">
        <v>1000.8274369350155</v>
      </c>
      <c r="K714" s="84">
        <v>548.07704538598364</v>
      </c>
      <c r="L714" s="84">
        <v>0</v>
      </c>
      <c r="M714" s="84">
        <v>61.457011786000344</v>
      </c>
      <c r="N714" s="84">
        <v>30.728505893000172</v>
      </c>
    </row>
    <row r="715" spans="1:14" x14ac:dyDescent="0.25">
      <c r="A715" s="74" t="s">
        <v>2185</v>
      </c>
      <c r="B715" s="74">
        <v>4489</v>
      </c>
      <c r="C715" t="e">
        <f>VLOOKUP(B715,'Waste Lookups'!$B$1:$C$292,2,FALSE)</f>
        <v>#N/A</v>
      </c>
      <c r="D715" s="84">
        <v>0</v>
      </c>
      <c r="E715" s="84">
        <v>595.08000000000004</v>
      </c>
      <c r="F715" s="84">
        <v>0</v>
      </c>
      <c r="G715" s="84">
        <v>0</v>
      </c>
      <c r="H715" s="84">
        <v>0</v>
      </c>
      <c r="I715" s="84"/>
      <c r="J715" s="84">
        <v>0</v>
      </c>
      <c r="K715" s="84">
        <v>0</v>
      </c>
      <c r="L715" s="84">
        <v>0</v>
      </c>
      <c r="M715" s="84">
        <v>0</v>
      </c>
      <c r="N715" s="84">
        <v>0</v>
      </c>
    </row>
    <row r="716" spans="1:14" x14ac:dyDescent="0.25">
      <c r="A716" s="74" t="s">
        <v>2187</v>
      </c>
      <c r="B716" s="74">
        <v>4492</v>
      </c>
      <c r="C716" t="e">
        <f>VLOOKUP(B716,'Waste Lookups'!$B$1:$C$292,2,FALSE)</f>
        <v>#N/A</v>
      </c>
      <c r="D716" s="84">
        <v>1983.4363636363637</v>
      </c>
      <c r="E716" s="84">
        <v>0</v>
      </c>
      <c r="F716" s="84">
        <v>0</v>
      </c>
      <c r="G716" s="84">
        <v>0</v>
      </c>
      <c r="H716" s="84">
        <v>0</v>
      </c>
      <c r="I716" s="84"/>
      <c r="J716" s="84">
        <v>441.03</v>
      </c>
      <c r="K716" s="84">
        <v>0</v>
      </c>
      <c r="L716" s="84">
        <v>0</v>
      </c>
      <c r="M716" s="84">
        <v>0</v>
      </c>
      <c r="N716" s="84">
        <v>0</v>
      </c>
    </row>
    <row r="717" spans="1:14" x14ac:dyDescent="0.25">
      <c r="A717" s="74" t="s">
        <v>2189</v>
      </c>
      <c r="B717" s="74">
        <v>4494</v>
      </c>
      <c r="C717" t="e">
        <f>VLOOKUP(B717,'Waste Lookups'!$B$1:$C$292,2,FALSE)</f>
        <v>#N/A</v>
      </c>
      <c r="D717" s="84">
        <v>391.45090909090902</v>
      </c>
      <c r="E717" s="84">
        <v>595.08000000000004</v>
      </c>
      <c r="F717" s="84">
        <v>0</v>
      </c>
      <c r="G717" s="84">
        <v>0</v>
      </c>
      <c r="H717" s="84">
        <v>0</v>
      </c>
      <c r="I717" s="84"/>
      <c r="J717" s="84">
        <v>238.21213972929937</v>
      </c>
      <c r="K717" s="84">
        <v>362.12786027070069</v>
      </c>
      <c r="L717" s="84">
        <v>0</v>
      </c>
      <c r="M717" s="84">
        <v>0</v>
      </c>
      <c r="N717" s="84">
        <v>0</v>
      </c>
    </row>
    <row r="718" spans="1:14" x14ac:dyDescent="0.25">
      <c r="A718" s="74" t="s">
        <v>2191</v>
      </c>
      <c r="B718" s="74">
        <v>4499</v>
      </c>
      <c r="C718" t="e">
        <f>VLOOKUP(B718,'Waste Lookups'!$B$1:$C$292,2,FALSE)</f>
        <v>#N/A</v>
      </c>
      <c r="D718" s="84">
        <v>248.64</v>
      </c>
      <c r="E718" s="84">
        <v>0</v>
      </c>
      <c r="F718" s="84">
        <v>0</v>
      </c>
      <c r="G718" s="84">
        <v>0</v>
      </c>
      <c r="H718" s="84">
        <v>0</v>
      </c>
      <c r="I718" s="84"/>
      <c r="J718" s="84">
        <v>239.66</v>
      </c>
      <c r="K718" s="84">
        <v>0</v>
      </c>
      <c r="L718" s="84">
        <v>0</v>
      </c>
      <c r="M718" s="84">
        <v>0</v>
      </c>
      <c r="N718" s="84">
        <v>0</v>
      </c>
    </row>
    <row r="719" spans="1:14" x14ac:dyDescent="0.25">
      <c r="A719" s="74" t="s">
        <v>2193</v>
      </c>
      <c r="B719" s="74">
        <v>4501</v>
      </c>
      <c r="C719" t="e">
        <f>VLOOKUP(B719,'Waste Lookups'!$B$1:$C$292,2,FALSE)</f>
        <v>#N/A</v>
      </c>
      <c r="D719" s="84">
        <v>1015.3418181818181</v>
      </c>
      <c r="E719" s="84">
        <v>0</v>
      </c>
      <c r="F719" s="84">
        <v>0</v>
      </c>
      <c r="G719" s="84">
        <v>0</v>
      </c>
      <c r="H719" s="84">
        <v>0</v>
      </c>
      <c r="I719" s="84"/>
      <c r="J719" s="84">
        <v>1902.87</v>
      </c>
      <c r="K719" s="84">
        <v>0</v>
      </c>
      <c r="L719" s="84">
        <v>0</v>
      </c>
      <c r="M719" s="84">
        <v>0</v>
      </c>
      <c r="N719" s="84">
        <v>0</v>
      </c>
    </row>
    <row r="720" spans="1:14" x14ac:dyDescent="0.25">
      <c r="A720" s="74" t="s">
        <v>2195</v>
      </c>
      <c r="B720" s="74">
        <v>4502</v>
      </c>
      <c r="C720" t="e">
        <f>VLOOKUP(B720,'Waste Lookups'!$B$1:$C$292,2,FALSE)</f>
        <v>#N/A</v>
      </c>
      <c r="D720" s="84">
        <v>0</v>
      </c>
      <c r="E720" s="84">
        <v>1389.36</v>
      </c>
      <c r="F720" s="84">
        <v>0</v>
      </c>
      <c r="G720" s="84">
        <v>0</v>
      </c>
      <c r="H720" s="84">
        <v>0</v>
      </c>
      <c r="I720" s="84"/>
      <c r="J720" s="84">
        <v>0</v>
      </c>
      <c r="K720" s="84">
        <v>0</v>
      </c>
      <c r="L720" s="84">
        <v>0</v>
      </c>
      <c r="M720" s="84">
        <v>0</v>
      </c>
      <c r="N720" s="84">
        <v>0</v>
      </c>
    </row>
    <row r="721" spans="1:14" x14ac:dyDescent="0.25">
      <c r="A721" s="74" t="s">
        <v>2197</v>
      </c>
      <c r="B721" s="74">
        <v>4504</v>
      </c>
      <c r="C721" t="e">
        <f>VLOOKUP(B721,'Waste Lookups'!$B$1:$C$292,2,FALSE)</f>
        <v>#N/A</v>
      </c>
      <c r="D721" s="84">
        <v>1115.4763636363637</v>
      </c>
      <c r="E721" s="84">
        <v>2464.3200000000002</v>
      </c>
      <c r="F721" s="84">
        <v>0</v>
      </c>
      <c r="G721" s="84">
        <v>0</v>
      </c>
      <c r="H721" s="84">
        <v>0</v>
      </c>
      <c r="I721" s="84"/>
      <c r="J721" s="84">
        <v>302.66651827833783</v>
      </c>
      <c r="K721" s="84">
        <v>668.65348172166216</v>
      </c>
      <c r="L721" s="84">
        <v>0</v>
      </c>
      <c r="M721" s="84">
        <v>0</v>
      </c>
      <c r="N721" s="84">
        <v>0</v>
      </c>
    </row>
    <row r="722" spans="1:14" x14ac:dyDescent="0.25">
      <c r="A722" s="74" t="s">
        <v>2199</v>
      </c>
      <c r="B722" s="74">
        <v>4505</v>
      </c>
      <c r="C722" t="e">
        <f>VLOOKUP(B722,'Waste Lookups'!$B$1:$C$292,2,FALSE)</f>
        <v>#N/A</v>
      </c>
      <c r="D722" s="84">
        <v>977.90181818181804</v>
      </c>
      <c r="E722" s="84">
        <v>661.2</v>
      </c>
      <c r="F722" s="84">
        <v>0</v>
      </c>
      <c r="G722" s="84">
        <v>0</v>
      </c>
      <c r="H722" s="84">
        <v>0</v>
      </c>
      <c r="I722" s="84"/>
      <c r="J722" s="84">
        <v>893.74316071107671</v>
      </c>
      <c r="K722" s="84">
        <v>604.29683928892325</v>
      </c>
      <c r="L722" s="84">
        <v>0</v>
      </c>
      <c r="M722" s="84">
        <v>0</v>
      </c>
      <c r="N722" s="84">
        <v>0</v>
      </c>
    </row>
    <row r="723" spans="1:14" x14ac:dyDescent="0.25">
      <c r="A723" s="74" t="s">
        <v>2201</v>
      </c>
      <c r="B723" s="74">
        <v>4506</v>
      </c>
      <c r="C723" t="e">
        <f>VLOOKUP(B723,'Waste Lookups'!$B$1:$C$292,2,FALSE)</f>
        <v>#N/A</v>
      </c>
      <c r="D723" s="84">
        <v>0</v>
      </c>
      <c r="E723" s="84">
        <v>2202</v>
      </c>
      <c r="F723" s="84">
        <v>0</v>
      </c>
      <c r="G723" s="84">
        <v>0</v>
      </c>
      <c r="H723" s="84">
        <v>0</v>
      </c>
      <c r="I723" s="84"/>
      <c r="J723" s="84">
        <v>0</v>
      </c>
      <c r="K723" s="84">
        <v>1416.2</v>
      </c>
      <c r="L723" s="84">
        <v>0</v>
      </c>
      <c r="M723" s="84">
        <v>0</v>
      </c>
      <c r="N723" s="84">
        <v>0</v>
      </c>
    </row>
    <row r="724" spans="1:14" x14ac:dyDescent="0.25">
      <c r="A724" s="74" t="s">
        <v>2203</v>
      </c>
      <c r="B724" s="74">
        <v>4507</v>
      </c>
      <c r="C724" t="e">
        <f>VLOOKUP(B724,'Waste Lookups'!$B$1:$C$292,2,FALSE)</f>
        <v>#N/A</v>
      </c>
      <c r="D724" s="84">
        <v>0</v>
      </c>
      <c r="E724" s="84">
        <v>553.30909090909086</v>
      </c>
      <c r="F724" s="84">
        <v>0</v>
      </c>
      <c r="G724" s="84">
        <v>0</v>
      </c>
      <c r="H724" s="84">
        <v>0</v>
      </c>
      <c r="I724" s="84"/>
      <c r="J724" s="84">
        <v>0</v>
      </c>
      <c r="K724" s="84">
        <v>785.7</v>
      </c>
      <c r="L724" s="84">
        <v>0</v>
      </c>
      <c r="M724" s="84">
        <v>0</v>
      </c>
      <c r="N724" s="84">
        <v>0</v>
      </c>
    </row>
    <row r="725" spans="1:14" x14ac:dyDescent="0.25">
      <c r="A725" s="74" t="s">
        <v>2205</v>
      </c>
      <c r="B725" s="74">
        <v>4511</v>
      </c>
      <c r="C725" t="e">
        <f>VLOOKUP(B725,'Waste Lookups'!$B$1:$C$292,2,FALSE)</f>
        <v>#N/A</v>
      </c>
      <c r="D725" s="84">
        <v>0</v>
      </c>
      <c r="E725" s="84">
        <v>575.12727272727273</v>
      </c>
      <c r="F725" s="84">
        <v>0</v>
      </c>
      <c r="G725" s="84">
        <v>0</v>
      </c>
      <c r="H725" s="84">
        <v>0</v>
      </c>
      <c r="I725" s="84"/>
      <c r="J725" s="84">
        <v>0</v>
      </c>
      <c r="K725" s="84">
        <v>378.3</v>
      </c>
      <c r="L725" s="84">
        <v>0</v>
      </c>
      <c r="M725" s="84">
        <v>0</v>
      </c>
      <c r="N725" s="84">
        <v>0</v>
      </c>
    </row>
    <row r="726" spans="1:14" x14ac:dyDescent="0.25">
      <c r="A726" s="74" t="s">
        <v>2207</v>
      </c>
      <c r="B726" s="74">
        <v>4512</v>
      </c>
      <c r="C726" t="e">
        <f>VLOOKUP(B726,'Waste Lookups'!$B$1:$C$292,2,FALSE)</f>
        <v>#N/A</v>
      </c>
      <c r="D726" s="84">
        <v>0</v>
      </c>
      <c r="E726" s="84">
        <v>2121.3818181818183</v>
      </c>
      <c r="F726" s="84">
        <v>0</v>
      </c>
      <c r="G726" s="84">
        <v>0</v>
      </c>
      <c r="H726" s="84">
        <v>0</v>
      </c>
      <c r="I726" s="84"/>
      <c r="J726" s="84">
        <v>0</v>
      </c>
      <c r="K726" s="84">
        <v>1862.4</v>
      </c>
      <c r="L726" s="84">
        <v>0</v>
      </c>
      <c r="M726" s="84">
        <v>0</v>
      </c>
      <c r="N726" s="84">
        <v>0</v>
      </c>
    </row>
    <row r="727" spans="1:14" x14ac:dyDescent="0.25">
      <c r="A727" s="74" t="s">
        <v>2209</v>
      </c>
      <c r="B727" s="74">
        <v>4514</v>
      </c>
      <c r="C727" t="e">
        <f>VLOOKUP(B727,'Waste Lookups'!$B$1:$C$292,2,FALSE)</f>
        <v>#N/A</v>
      </c>
      <c r="D727" s="84">
        <v>0</v>
      </c>
      <c r="E727" s="84">
        <v>4051.6363636363635</v>
      </c>
      <c r="F727" s="84">
        <v>0</v>
      </c>
      <c r="G727" s="84">
        <v>0</v>
      </c>
      <c r="H727" s="84">
        <v>0</v>
      </c>
      <c r="I727" s="84"/>
      <c r="J727" s="84">
        <v>0</v>
      </c>
      <c r="K727" s="84">
        <v>2822.7</v>
      </c>
      <c r="L727" s="84">
        <v>0</v>
      </c>
      <c r="M727" s="84">
        <v>0</v>
      </c>
      <c r="N727" s="84">
        <v>0</v>
      </c>
    </row>
    <row r="728" spans="1:14" x14ac:dyDescent="0.25">
      <c r="A728" s="74" t="s">
        <v>2211</v>
      </c>
      <c r="B728" s="74">
        <v>4515</v>
      </c>
      <c r="C728" t="e">
        <f>VLOOKUP(B728,'Waste Lookups'!$B$1:$C$292,2,FALSE)</f>
        <v>#N/A</v>
      </c>
      <c r="D728" s="84">
        <v>0</v>
      </c>
      <c r="E728" s="84">
        <v>1151.5636363636363</v>
      </c>
      <c r="F728" s="84">
        <v>0</v>
      </c>
      <c r="G728" s="84">
        <v>0</v>
      </c>
      <c r="H728" s="84">
        <v>0</v>
      </c>
      <c r="I728" s="84"/>
      <c r="J728" s="84">
        <v>0</v>
      </c>
      <c r="K728" s="84">
        <v>756.6</v>
      </c>
      <c r="L728" s="84">
        <v>0</v>
      </c>
      <c r="M728" s="84">
        <v>0</v>
      </c>
      <c r="N728" s="84">
        <v>0</v>
      </c>
    </row>
    <row r="729" spans="1:14" x14ac:dyDescent="0.25">
      <c r="A729" s="74" t="s">
        <v>2213</v>
      </c>
      <c r="B729" s="74">
        <v>4516</v>
      </c>
      <c r="C729" t="e">
        <f>VLOOKUP(B729,'Waste Lookups'!$B$1:$C$292,2,FALSE)</f>
        <v>#N/A</v>
      </c>
      <c r="D729" s="84">
        <v>0</v>
      </c>
      <c r="E729" s="84">
        <v>1129.090909090909</v>
      </c>
      <c r="F729" s="84">
        <v>0</v>
      </c>
      <c r="G729" s="84">
        <v>0</v>
      </c>
      <c r="H729" s="84">
        <v>0</v>
      </c>
      <c r="I729" s="84"/>
      <c r="J729" s="84">
        <v>0</v>
      </c>
      <c r="K729" s="84">
        <v>746.9</v>
      </c>
      <c r="L729" s="84">
        <v>0</v>
      </c>
      <c r="M729" s="84">
        <v>0</v>
      </c>
      <c r="N729" s="84">
        <v>0</v>
      </c>
    </row>
    <row r="730" spans="1:14" x14ac:dyDescent="0.25">
      <c r="A730" s="74" t="s">
        <v>2215</v>
      </c>
      <c r="B730" s="74">
        <v>4517</v>
      </c>
      <c r="C730" t="e">
        <f>VLOOKUP(B730,'Waste Lookups'!$B$1:$C$292,2,FALSE)</f>
        <v>#N/A</v>
      </c>
      <c r="D730" s="84">
        <v>0</v>
      </c>
      <c r="E730" s="84">
        <v>1459.7454545454545</v>
      </c>
      <c r="F730" s="84">
        <v>0</v>
      </c>
      <c r="G730" s="84">
        <v>0</v>
      </c>
      <c r="H730" s="84">
        <v>0</v>
      </c>
      <c r="I730" s="84"/>
      <c r="J730" s="84">
        <v>0</v>
      </c>
      <c r="K730" s="84">
        <v>969.9</v>
      </c>
      <c r="L730" s="84">
        <v>0</v>
      </c>
      <c r="M730" s="84">
        <v>0</v>
      </c>
      <c r="N730" s="84">
        <v>0</v>
      </c>
    </row>
    <row r="731" spans="1:14" x14ac:dyDescent="0.25">
      <c r="A731" s="74" t="s">
        <v>2217</v>
      </c>
      <c r="B731" s="74">
        <v>4518</v>
      </c>
      <c r="C731" t="e">
        <f>VLOOKUP(B731,'Waste Lookups'!$B$1:$C$292,2,FALSE)</f>
        <v>#N/A</v>
      </c>
      <c r="D731" s="84">
        <v>0</v>
      </c>
      <c r="E731" s="84">
        <v>475.09090909090912</v>
      </c>
      <c r="F731" s="84">
        <v>0</v>
      </c>
      <c r="G731" s="84">
        <v>0</v>
      </c>
      <c r="H731" s="84">
        <v>0</v>
      </c>
      <c r="I731" s="84"/>
      <c r="J731" s="84">
        <v>0</v>
      </c>
      <c r="K731" s="84">
        <v>312</v>
      </c>
      <c r="L731" s="84">
        <v>0</v>
      </c>
      <c r="M731" s="84">
        <v>0</v>
      </c>
      <c r="N731" s="84">
        <v>0</v>
      </c>
    </row>
    <row r="732" spans="1:14" x14ac:dyDescent="0.25">
      <c r="A732" s="74" t="s">
        <v>2219</v>
      </c>
      <c r="B732" s="74">
        <v>4521</v>
      </c>
      <c r="C732" t="e">
        <f>VLOOKUP(B732,'Waste Lookups'!$B$1:$C$292,2,FALSE)</f>
        <v>#N/A</v>
      </c>
      <c r="D732" s="84">
        <v>0</v>
      </c>
      <c r="E732" s="84">
        <v>6897.9272727272728</v>
      </c>
      <c r="F732" s="84">
        <v>0</v>
      </c>
      <c r="G732" s="84">
        <v>0</v>
      </c>
      <c r="H732" s="84">
        <v>0</v>
      </c>
      <c r="I732" s="84"/>
      <c r="J732" s="84">
        <v>0</v>
      </c>
      <c r="K732" s="84">
        <v>4813</v>
      </c>
      <c r="L732" s="84">
        <v>0</v>
      </c>
      <c r="M732" s="84">
        <v>0</v>
      </c>
      <c r="N732" s="84">
        <v>0</v>
      </c>
    </row>
    <row r="733" spans="1:14" x14ac:dyDescent="0.25">
      <c r="A733" s="74" t="s">
        <v>2221</v>
      </c>
      <c r="B733" s="74">
        <v>4522</v>
      </c>
      <c r="C733" t="e">
        <f>VLOOKUP(B733,'Waste Lookups'!$B$1:$C$292,2,FALSE)</f>
        <v>#N/A</v>
      </c>
      <c r="D733" s="84">
        <v>0</v>
      </c>
      <c r="E733" s="84">
        <v>188.40000000000003</v>
      </c>
      <c r="F733" s="84">
        <v>0</v>
      </c>
      <c r="G733" s="84">
        <v>0</v>
      </c>
      <c r="H733" s="84">
        <v>0</v>
      </c>
      <c r="I733" s="84"/>
      <c r="J733" s="84">
        <v>0</v>
      </c>
      <c r="K733" s="84">
        <v>115.9</v>
      </c>
      <c r="L733" s="84">
        <v>0</v>
      </c>
      <c r="M733" s="84">
        <v>0</v>
      </c>
      <c r="N733" s="84">
        <v>0</v>
      </c>
    </row>
    <row r="734" spans="1:14" x14ac:dyDescent="0.25">
      <c r="A734" s="74" t="s">
        <v>2223</v>
      </c>
      <c r="B734" s="74">
        <v>4523</v>
      </c>
      <c r="C734" t="e">
        <f>VLOOKUP(B734,'Waste Lookups'!$B$1:$C$292,2,FALSE)</f>
        <v>#N/A</v>
      </c>
      <c r="D734" s="84">
        <v>0</v>
      </c>
      <c r="E734" s="84">
        <v>411.4909090909091</v>
      </c>
      <c r="F734" s="84">
        <v>0</v>
      </c>
      <c r="G734" s="84">
        <v>0</v>
      </c>
      <c r="H734" s="84">
        <v>0</v>
      </c>
      <c r="I734" s="84"/>
      <c r="J734" s="84">
        <v>0</v>
      </c>
      <c r="K734" s="84">
        <v>528.29999999999995</v>
      </c>
      <c r="L734" s="84">
        <v>0</v>
      </c>
      <c r="M734" s="84">
        <v>0</v>
      </c>
      <c r="N734" s="84">
        <v>0</v>
      </c>
    </row>
    <row r="735" spans="1:14" x14ac:dyDescent="0.25">
      <c r="A735" s="74" t="s">
        <v>2225</v>
      </c>
      <c r="B735" s="74">
        <v>4524</v>
      </c>
      <c r="C735" t="e">
        <f>VLOOKUP(B735,'Waste Lookups'!$B$1:$C$292,2,FALSE)</f>
        <v>#N/A</v>
      </c>
      <c r="D735" s="84">
        <v>0</v>
      </c>
      <c r="E735" s="84">
        <v>526.4727272727273</v>
      </c>
      <c r="F735" s="84">
        <v>0</v>
      </c>
      <c r="G735" s="84">
        <v>0</v>
      </c>
      <c r="H735" s="84">
        <v>0</v>
      </c>
      <c r="I735" s="84"/>
      <c r="J735" s="84">
        <v>0</v>
      </c>
      <c r="K735" s="84">
        <v>861.1</v>
      </c>
      <c r="L735" s="84">
        <v>0</v>
      </c>
      <c r="M735" s="84">
        <v>0</v>
      </c>
      <c r="N735" s="84">
        <v>0</v>
      </c>
    </row>
    <row r="736" spans="1:14" x14ac:dyDescent="0.25">
      <c r="A736" s="74" t="s">
        <v>2227</v>
      </c>
      <c r="B736" s="74">
        <v>4525</v>
      </c>
      <c r="C736" t="e">
        <f>VLOOKUP(B736,'Waste Lookups'!$B$1:$C$292,2,FALSE)</f>
        <v>#N/A</v>
      </c>
      <c r="D736" s="84">
        <v>0</v>
      </c>
      <c r="E736" s="84">
        <v>844.8</v>
      </c>
      <c r="F736" s="84">
        <v>0</v>
      </c>
      <c r="G736" s="84">
        <v>0</v>
      </c>
      <c r="H736" s="84">
        <v>0</v>
      </c>
      <c r="I736" s="84"/>
      <c r="J736" s="84">
        <v>0</v>
      </c>
      <c r="K736" s="84">
        <v>1056</v>
      </c>
      <c r="L736" s="84">
        <v>0</v>
      </c>
      <c r="M736" s="84">
        <v>0</v>
      </c>
      <c r="N736" s="84">
        <v>0</v>
      </c>
    </row>
    <row r="737" spans="1:14" x14ac:dyDescent="0.25">
      <c r="A737" s="74" t="s">
        <v>2229</v>
      </c>
      <c r="B737" s="74">
        <v>4526</v>
      </c>
      <c r="C737" t="e">
        <f>VLOOKUP(B737,'Waste Lookups'!$B$1:$C$292,2,FALSE)</f>
        <v>#N/A</v>
      </c>
      <c r="D737" s="84">
        <v>0</v>
      </c>
      <c r="E737" s="84">
        <v>200.61818181818182</v>
      </c>
      <c r="F737" s="84">
        <v>0</v>
      </c>
      <c r="G737" s="84">
        <v>0</v>
      </c>
      <c r="H737" s="84">
        <v>0</v>
      </c>
      <c r="I737" s="84"/>
      <c r="J737" s="84">
        <v>0</v>
      </c>
      <c r="K737" s="84">
        <v>244.6</v>
      </c>
      <c r="L737" s="84">
        <v>0</v>
      </c>
      <c r="M737" s="84">
        <v>0</v>
      </c>
      <c r="N737" s="84">
        <v>0</v>
      </c>
    </row>
    <row r="738" spans="1:14" x14ac:dyDescent="0.25">
      <c r="A738" s="74" t="s">
        <v>2231</v>
      </c>
      <c r="B738" s="74">
        <v>4529</v>
      </c>
      <c r="C738" t="e">
        <f>VLOOKUP(B738,'Waste Lookups'!$B$1:$C$292,2,FALSE)</f>
        <v>#N/A</v>
      </c>
      <c r="D738" s="84">
        <v>0</v>
      </c>
      <c r="E738" s="84">
        <v>694.36363636363637</v>
      </c>
      <c r="F738" s="84">
        <v>0</v>
      </c>
      <c r="G738" s="84">
        <v>0</v>
      </c>
      <c r="H738" s="84">
        <v>0</v>
      </c>
      <c r="I738" s="84"/>
      <c r="J738" s="84">
        <v>0</v>
      </c>
      <c r="K738" s="84">
        <v>1410.3</v>
      </c>
      <c r="L738" s="84">
        <v>0</v>
      </c>
      <c r="M738" s="84">
        <v>0</v>
      </c>
      <c r="N738" s="84">
        <v>0</v>
      </c>
    </row>
    <row r="739" spans="1:14" x14ac:dyDescent="0.25">
      <c r="A739" s="74" t="s">
        <v>2233</v>
      </c>
      <c r="B739" s="74">
        <v>4532</v>
      </c>
      <c r="C739" t="e">
        <f>VLOOKUP(B739,'Waste Lookups'!$B$1:$C$292,2,FALSE)</f>
        <v>#N/A</v>
      </c>
      <c r="D739" s="84">
        <v>0</v>
      </c>
      <c r="E739" s="84">
        <v>857.0181818181818</v>
      </c>
      <c r="F739" s="84">
        <v>0</v>
      </c>
      <c r="G739" s="84">
        <v>0</v>
      </c>
      <c r="H739" s="84">
        <v>0</v>
      </c>
      <c r="I739" s="84"/>
      <c r="J739" s="84">
        <v>0</v>
      </c>
      <c r="K739" s="84">
        <v>1026.5999999999999</v>
      </c>
      <c r="L739" s="84">
        <v>0</v>
      </c>
      <c r="M739" s="84">
        <v>0</v>
      </c>
      <c r="N739" s="84">
        <v>0</v>
      </c>
    </row>
    <row r="740" spans="1:14" x14ac:dyDescent="0.25">
      <c r="A740" s="74" t="s">
        <v>2235</v>
      </c>
      <c r="B740" s="74">
        <v>4533</v>
      </c>
      <c r="C740" t="e">
        <f>VLOOKUP(B740,'Waste Lookups'!$B$1:$C$292,2,FALSE)</f>
        <v>#N/A</v>
      </c>
      <c r="D740" s="84">
        <v>0</v>
      </c>
      <c r="E740" s="84">
        <v>412.14545454545453</v>
      </c>
      <c r="F740" s="84">
        <v>0</v>
      </c>
      <c r="G740" s="84">
        <v>0</v>
      </c>
      <c r="H740" s="84">
        <v>0</v>
      </c>
      <c r="I740" s="84"/>
      <c r="J740" s="84">
        <v>0</v>
      </c>
      <c r="K740" s="84">
        <v>528.29999999999995</v>
      </c>
      <c r="L740" s="84">
        <v>0</v>
      </c>
      <c r="M740" s="84">
        <v>0</v>
      </c>
      <c r="N740" s="84">
        <v>0</v>
      </c>
    </row>
    <row r="741" spans="1:14" x14ac:dyDescent="0.25">
      <c r="A741" s="74" t="s">
        <v>2237</v>
      </c>
      <c r="B741" s="74">
        <v>4535</v>
      </c>
      <c r="C741" t="e">
        <f>VLOOKUP(B741,'Waste Lookups'!$B$1:$C$292,2,FALSE)</f>
        <v>#N/A</v>
      </c>
      <c r="D741" s="84">
        <v>0</v>
      </c>
      <c r="E741" s="84">
        <v>3286.3636363636365</v>
      </c>
      <c r="F741" s="84">
        <v>0</v>
      </c>
      <c r="G741" s="84">
        <v>0</v>
      </c>
      <c r="H741" s="84">
        <v>0</v>
      </c>
      <c r="I741" s="84"/>
      <c r="J741" s="84">
        <v>0</v>
      </c>
      <c r="K741" s="84">
        <v>460</v>
      </c>
      <c r="L741" s="84">
        <v>0</v>
      </c>
      <c r="M741" s="84">
        <v>0</v>
      </c>
      <c r="N741" s="84">
        <v>0</v>
      </c>
    </row>
    <row r="742" spans="1:14" x14ac:dyDescent="0.25">
      <c r="A742" s="74" t="s">
        <v>2239</v>
      </c>
      <c r="B742" s="74">
        <v>4536</v>
      </c>
      <c r="C742" t="e">
        <f>VLOOKUP(B742,'Waste Lookups'!$B$1:$C$292,2,FALSE)</f>
        <v>#N/A</v>
      </c>
      <c r="D742" s="84">
        <v>0</v>
      </c>
      <c r="E742" s="84">
        <v>491.45454545454544</v>
      </c>
      <c r="F742" s="84">
        <v>0</v>
      </c>
      <c r="G742" s="84">
        <v>0</v>
      </c>
      <c r="H742" s="84">
        <v>0</v>
      </c>
      <c r="I742" s="84"/>
      <c r="J742" s="84">
        <v>0</v>
      </c>
      <c r="K742" s="84">
        <v>645.79999999999995</v>
      </c>
      <c r="L742" s="84">
        <v>0</v>
      </c>
      <c r="M742" s="84">
        <v>0</v>
      </c>
      <c r="N742" s="84">
        <v>0</v>
      </c>
    </row>
    <row r="743" spans="1:14" x14ac:dyDescent="0.25">
      <c r="A743" s="74" t="s">
        <v>2241</v>
      </c>
      <c r="B743" s="74">
        <v>4541</v>
      </c>
      <c r="C743" t="e">
        <f>VLOOKUP(B743,'Waste Lookups'!$B$1:$C$292,2,FALSE)</f>
        <v>#N/A</v>
      </c>
      <c r="D743" s="84">
        <v>0</v>
      </c>
      <c r="E743" s="84">
        <v>0</v>
      </c>
      <c r="F743" s="84">
        <v>0</v>
      </c>
      <c r="G743" s="84">
        <v>0</v>
      </c>
      <c r="H743" s="84">
        <v>0</v>
      </c>
      <c r="I743" s="84"/>
      <c r="J743" s="84">
        <v>0</v>
      </c>
      <c r="K743" s="84">
        <v>0</v>
      </c>
      <c r="L743" s="84">
        <v>0</v>
      </c>
      <c r="M743" s="84">
        <v>0</v>
      </c>
      <c r="N743" s="84">
        <v>0</v>
      </c>
    </row>
    <row r="744" spans="1:14" x14ac:dyDescent="0.25">
      <c r="A744" s="74" t="s">
        <v>2243</v>
      </c>
      <c r="B744" s="74">
        <v>4542</v>
      </c>
      <c r="C744" t="e">
        <f>VLOOKUP(B744,'Waste Lookups'!$B$1:$C$292,2,FALSE)</f>
        <v>#N/A</v>
      </c>
      <c r="D744" s="84">
        <v>0</v>
      </c>
      <c r="E744" s="84">
        <v>2754.7527272727275</v>
      </c>
      <c r="F744" s="84">
        <v>0</v>
      </c>
      <c r="G744" s="84">
        <v>0</v>
      </c>
      <c r="H744" s="84">
        <v>1728.0327272727272</v>
      </c>
      <c r="I744" s="84"/>
      <c r="J744" s="84">
        <v>0</v>
      </c>
      <c r="K744" s="84">
        <v>3772.096353322529</v>
      </c>
      <c r="L744" s="84">
        <v>0</v>
      </c>
      <c r="M744" s="84">
        <v>0</v>
      </c>
      <c r="N744" s="84">
        <v>2366.2036466774716</v>
      </c>
    </row>
    <row r="745" spans="1:14" x14ac:dyDescent="0.25">
      <c r="A745" s="74" t="s">
        <v>2245</v>
      </c>
      <c r="B745" s="74">
        <v>4543</v>
      </c>
      <c r="C745" t="e">
        <f>VLOOKUP(B745,'Waste Lookups'!$B$1:$C$292,2,FALSE)</f>
        <v>#N/A</v>
      </c>
      <c r="D745" s="84">
        <v>0</v>
      </c>
      <c r="E745" s="84">
        <v>2964.8727272727274</v>
      </c>
      <c r="F745" s="84">
        <v>0</v>
      </c>
      <c r="G745" s="84">
        <v>0</v>
      </c>
      <c r="H745" s="84">
        <v>0</v>
      </c>
      <c r="I745" s="84"/>
      <c r="J745" s="84">
        <v>0</v>
      </c>
      <c r="K745" s="84">
        <v>1930.3</v>
      </c>
      <c r="L745" s="84">
        <v>0</v>
      </c>
      <c r="M745" s="84">
        <v>0</v>
      </c>
      <c r="N745" s="84">
        <v>0</v>
      </c>
    </row>
    <row r="746" spans="1:14" x14ac:dyDescent="0.25">
      <c r="A746" s="74" t="s">
        <v>742</v>
      </c>
      <c r="B746" s="74">
        <v>4544</v>
      </c>
      <c r="C746" t="str">
        <f>VLOOKUP(B746,'Waste Lookups'!$B$1:$C$292,2,FALSE)</f>
        <v>Brunswick Court</v>
      </c>
      <c r="D746" s="84">
        <v>189.6109090909091</v>
      </c>
      <c r="E746" s="84">
        <v>2410.9636363636364</v>
      </c>
      <c r="F746" s="84">
        <v>0</v>
      </c>
      <c r="G746" s="84">
        <v>569.43272727272733</v>
      </c>
      <c r="H746" s="84">
        <v>1079.9672727272728</v>
      </c>
      <c r="I746" s="84"/>
      <c r="J746" s="84">
        <v>268.80608055834347</v>
      </c>
      <c r="K746" s="84">
        <v>3417.9556891891543</v>
      </c>
      <c r="L746" s="84">
        <v>0</v>
      </c>
      <c r="M746" s="84">
        <v>807.26884488719941</v>
      </c>
      <c r="N746" s="84">
        <v>1531.0393853653027</v>
      </c>
    </row>
    <row r="747" spans="1:14" x14ac:dyDescent="0.25">
      <c r="A747" s="74" t="s">
        <v>2248</v>
      </c>
      <c r="B747" s="74">
        <v>4546</v>
      </c>
      <c r="C747" t="e">
        <f>VLOOKUP(B747,'Waste Lookups'!$B$1:$C$292,2,FALSE)</f>
        <v>#N/A</v>
      </c>
      <c r="D747" s="84">
        <v>0</v>
      </c>
      <c r="E747" s="84">
        <v>0</v>
      </c>
      <c r="F747" s="84">
        <v>0</v>
      </c>
      <c r="G747" s="84">
        <v>0</v>
      </c>
      <c r="H747" s="84">
        <v>0</v>
      </c>
      <c r="I747" s="84"/>
      <c r="J747" s="84">
        <v>0</v>
      </c>
      <c r="K747" s="84">
        <v>0</v>
      </c>
      <c r="L747" s="84">
        <v>0</v>
      </c>
      <c r="M747" s="84">
        <v>0</v>
      </c>
      <c r="N747" s="84">
        <v>0</v>
      </c>
    </row>
    <row r="748" spans="1:14" x14ac:dyDescent="0.25">
      <c r="A748" s="74" t="s">
        <v>2250</v>
      </c>
      <c r="B748" s="74">
        <v>4547</v>
      </c>
      <c r="C748" t="e">
        <f>VLOOKUP(B748,'Waste Lookups'!$B$1:$C$292,2,FALSE)</f>
        <v>#N/A</v>
      </c>
      <c r="D748" s="84">
        <v>0</v>
      </c>
      <c r="E748" s="84">
        <v>851.02909090909088</v>
      </c>
      <c r="F748" s="84">
        <v>0</v>
      </c>
      <c r="G748" s="84">
        <v>0</v>
      </c>
      <c r="H748" s="84">
        <v>0</v>
      </c>
      <c r="I748" s="84"/>
      <c r="J748" s="84">
        <v>0</v>
      </c>
      <c r="K748" s="84">
        <v>840.62</v>
      </c>
      <c r="L748" s="84">
        <v>0</v>
      </c>
      <c r="M748" s="84">
        <v>0</v>
      </c>
      <c r="N748" s="84">
        <v>0</v>
      </c>
    </row>
    <row r="749" spans="1:14" x14ac:dyDescent="0.25">
      <c r="A749" s="74" t="s">
        <v>2252</v>
      </c>
      <c r="B749" s="74">
        <v>4549</v>
      </c>
      <c r="C749" t="e">
        <f>VLOOKUP(B749,'Waste Lookups'!$B$1:$C$292,2,FALSE)</f>
        <v>#N/A</v>
      </c>
      <c r="D749" s="84">
        <v>0</v>
      </c>
      <c r="E749" s="84">
        <v>1502.5309090909091</v>
      </c>
      <c r="F749" s="84">
        <v>0</v>
      </c>
      <c r="G749" s="84">
        <v>0</v>
      </c>
      <c r="H749" s="84">
        <v>604.48363636363638</v>
      </c>
      <c r="I749" s="84"/>
      <c r="J749" s="84">
        <v>0</v>
      </c>
      <c r="K749" s="84">
        <v>1183.7679715029797</v>
      </c>
      <c r="L749" s="84">
        <v>0</v>
      </c>
      <c r="M749" s="84">
        <v>0</v>
      </c>
      <c r="N749" s="84">
        <v>476.24202849702033</v>
      </c>
    </row>
    <row r="750" spans="1:14" x14ac:dyDescent="0.25">
      <c r="A750" s="74" t="s">
        <v>759</v>
      </c>
      <c r="B750" s="74">
        <v>4550</v>
      </c>
      <c r="C750" t="str">
        <f>VLOOKUP(B750,'Waste Lookups'!$B$1:$C$292,2,FALSE)</f>
        <v>King Lane Moortown</v>
      </c>
      <c r="D750" s="84">
        <v>0</v>
      </c>
      <c r="E750" s="84">
        <v>1294.8436363636365</v>
      </c>
      <c r="F750" s="84">
        <v>0</v>
      </c>
      <c r="G750" s="84">
        <v>14.061818181818182</v>
      </c>
      <c r="H750" s="84">
        <v>182.77090909090907</v>
      </c>
      <c r="I750" s="84"/>
      <c r="J750" s="84">
        <v>0</v>
      </c>
      <c r="K750" s="84">
        <v>1457.4838833673405</v>
      </c>
      <c r="L750" s="84">
        <v>0</v>
      </c>
      <c r="M750" s="84">
        <v>15.828068189297701</v>
      </c>
      <c r="N750" s="84">
        <v>205.72804844336204</v>
      </c>
    </row>
    <row r="751" spans="1:14" x14ac:dyDescent="0.25">
      <c r="A751" s="74" t="s">
        <v>2255</v>
      </c>
      <c r="B751" s="74">
        <v>4558</v>
      </c>
      <c r="C751" t="e">
        <f>VLOOKUP(B751,'Waste Lookups'!$B$1:$C$292,2,FALSE)</f>
        <v>#N/A</v>
      </c>
      <c r="D751" s="84">
        <v>0</v>
      </c>
      <c r="E751" s="84">
        <v>844.57090909090925</v>
      </c>
      <c r="F751" s="84">
        <v>0</v>
      </c>
      <c r="G751" s="84">
        <v>0</v>
      </c>
      <c r="H751" s="84">
        <v>0</v>
      </c>
      <c r="I751" s="84"/>
      <c r="J751" s="84">
        <v>0</v>
      </c>
      <c r="K751" s="84">
        <v>924.19</v>
      </c>
      <c r="L751" s="84">
        <v>0</v>
      </c>
      <c r="M751" s="84">
        <v>0</v>
      </c>
      <c r="N751" s="84">
        <v>0</v>
      </c>
    </row>
    <row r="752" spans="1:14" x14ac:dyDescent="0.25">
      <c r="A752" s="74" t="s">
        <v>2257</v>
      </c>
      <c r="B752" s="74">
        <v>4559</v>
      </c>
      <c r="C752" t="e">
        <f>VLOOKUP(B752,'Waste Lookups'!$B$1:$C$292,2,FALSE)</f>
        <v>#N/A</v>
      </c>
      <c r="D752" s="84">
        <v>0</v>
      </c>
      <c r="E752" s="84">
        <v>2011.8545454545456</v>
      </c>
      <c r="F752" s="84">
        <v>0</v>
      </c>
      <c r="G752" s="84">
        <v>0</v>
      </c>
      <c r="H752" s="84">
        <v>604.48363636363638</v>
      </c>
      <c r="I752" s="84"/>
      <c r="J752" s="84">
        <v>0</v>
      </c>
      <c r="K752" s="84">
        <v>1192.1158065471102</v>
      </c>
      <c r="L752" s="84">
        <v>0</v>
      </c>
      <c r="M752" s="84">
        <v>0</v>
      </c>
      <c r="N752" s="84">
        <v>358.1841934528897</v>
      </c>
    </row>
    <row r="753" spans="1:14" x14ac:dyDescent="0.25">
      <c r="A753" s="74" t="s">
        <v>2259</v>
      </c>
      <c r="B753" s="74">
        <v>4561</v>
      </c>
      <c r="C753" t="e">
        <f>VLOOKUP(B753,'Waste Lookups'!$B$1:$C$292,2,FALSE)</f>
        <v>#N/A</v>
      </c>
      <c r="D753" s="84">
        <v>0</v>
      </c>
      <c r="E753" s="84">
        <v>0</v>
      </c>
      <c r="F753" s="84">
        <v>0</v>
      </c>
      <c r="G753" s="84">
        <v>0</v>
      </c>
      <c r="H753" s="84">
        <v>0</v>
      </c>
      <c r="I753" s="84"/>
      <c r="J753" s="84">
        <v>0</v>
      </c>
      <c r="K753" s="84">
        <v>0</v>
      </c>
      <c r="L753" s="84">
        <v>0</v>
      </c>
      <c r="M753" s="84">
        <v>0</v>
      </c>
      <c r="N753" s="84">
        <v>0</v>
      </c>
    </row>
    <row r="754" spans="1:14" x14ac:dyDescent="0.25">
      <c r="A754" s="74" t="s">
        <v>2261</v>
      </c>
      <c r="B754" s="74">
        <v>4563</v>
      </c>
      <c r="C754" t="e">
        <f>VLOOKUP(B754,'Waste Lookups'!$B$1:$C$292,2,FALSE)</f>
        <v>#N/A</v>
      </c>
      <c r="D754" s="84">
        <v>0</v>
      </c>
      <c r="E754" s="84">
        <v>0</v>
      </c>
      <c r="F754" s="84">
        <v>0</v>
      </c>
      <c r="G754" s="84">
        <v>0</v>
      </c>
      <c r="H754" s="84">
        <v>0</v>
      </c>
      <c r="I754" s="84"/>
      <c r="J754" s="84">
        <v>0</v>
      </c>
      <c r="K754" s="84">
        <v>0</v>
      </c>
      <c r="L754" s="84">
        <v>0</v>
      </c>
      <c r="M754" s="84">
        <v>0</v>
      </c>
      <c r="N754" s="84">
        <v>0</v>
      </c>
    </row>
    <row r="755" spans="1:14" x14ac:dyDescent="0.25">
      <c r="A755" s="74" t="s">
        <v>2263</v>
      </c>
      <c r="B755" s="74">
        <v>4564</v>
      </c>
      <c r="C755" t="e">
        <f>VLOOKUP(B755,'Waste Lookups'!$B$1:$C$292,2,FALSE)</f>
        <v>#N/A</v>
      </c>
      <c r="D755" s="84">
        <v>0</v>
      </c>
      <c r="E755" s="84">
        <v>0</v>
      </c>
      <c r="F755" s="84">
        <v>0</v>
      </c>
      <c r="G755" s="84">
        <v>0</v>
      </c>
      <c r="H755" s="84">
        <v>0</v>
      </c>
      <c r="I755" s="84"/>
      <c r="J755" s="84">
        <v>0</v>
      </c>
      <c r="K755" s="84">
        <v>0</v>
      </c>
      <c r="L755" s="84">
        <v>0</v>
      </c>
      <c r="M755" s="84">
        <v>0</v>
      </c>
      <c r="N755" s="84">
        <v>0</v>
      </c>
    </row>
    <row r="756" spans="1:14" x14ac:dyDescent="0.25">
      <c r="A756" s="74" t="s">
        <v>2265</v>
      </c>
      <c r="B756" s="74">
        <v>4565</v>
      </c>
      <c r="C756" t="e">
        <f>VLOOKUP(B756,'Waste Lookups'!$B$1:$C$292,2,FALSE)</f>
        <v>#N/A</v>
      </c>
      <c r="D756" s="84">
        <v>0</v>
      </c>
      <c r="E756" s="84">
        <v>0</v>
      </c>
      <c r="F756" s="84">
        <v>0</v>
      </c>
      <c r="G756" s="84">
        <v>0</v>
      </c>
      <c r="H756" s="84">
        <v>0</v>
      </c>
      <c r="I756" s="84"/>
      <c r="J756" s="84">
        <v>0</v>
      </c>
      <c r="K756" s="84">
        <v>0</v>
      </c>
      <c r="L756" s="84">
        <v>0</v>
      </c>
      <c r="M756" s="84">
        <v>0</v>
      </c>
      <c r="N756" s="84">
        <v>0</v>
      </c>
    </row>
    <row r="757" spans="1:14" x14ac:dyDescent="0.25">
      <c r="A757" s="74" t="s">
        <v>2267</v>
      </c>
      <c r="B757" s="74">
        <v>4567</v>
      </c>
      <c r="C757" t="e">
        <f>VLOOKUP(B757,'Waste Lookups'!$B$1:$C$292,2,FALSE)</f>
        <v>#N/A</v>
      </c>
      <c r="D757" s="84">
        <v>529.25454545454545</v>
      </c>
      <c r="E757" s="84">
        <v>661.2</v>
      </c>
      <c r="F757" s="84">
        <v>0</v>
      </c>
      <c r="G757" s="84">
        <v>0</v>
      </c>
      <c r="H757" s="84">
        <v>0</v>
      </c>
      <c r="I757" s="84"/>
      <c r="J757" s="84">
        <v>544.39053837342499</v>
      </c>
      <c r="K757" s="84">
        <v>680.10946162657513</v>
      </c>
      <c r="L757" s="84">
        <v>0</v>
      </c>
      <c r="M757" s="84">
        <v>0</v>
      </c>
      <c r="N757" s="84">
        <v>0</v>
      </c>
    </row>
    <row r="758" spans="1:14" x14ac:dyDescent="0.25">
      <c r="A758" s="74" t="s">
        <v>2269</v>
      </c>
      <c r="B758" s="74">
        <v>4568</v>
      </c>
      <c r="C758" t="e">
        <f>VLOOKUP(B758,'Waste Lookups'!$B$1:$C$292,2,FALSE)</f>
        <v>#N/A</v>
      </c>
      <c r="D758" s="84">
        <v>271.45090909090908</v>
      </c>
      <c r="E758" s="84">
        <v>2248.08</v>
      </c>
      <c r="F758" s="84">
        <v>0</v>
      </c>
      <c r="G758" s="84">
        <v>0</v>
      </c>
      <c r="H758" s="84">
        <v>0</v>
      </c>
      <c r="I758" s="84"/>
      <c r="J758" s="84">
        <v>0</v>
      </c>
      <c r="K758" s="84">
        <v>0</v>
      </c>
      <c r="L758" s="84">
        <v>0</v>
      </c>
      <c r="M758" s="84">
        <v>0</v>
      </c>
      <c r="N758" s="84">
        <v>0</v>
      </c>
    </row>
    <row r="759" spans="1:14" x14ac:dyDescent="0.25">
      <c r="A759" s="74" t="s">
        <v>2271</v>
      </c>
      <c r="B759" s="74">
        <v>4569</v>
      </c>
      <c r="C759" t="e">
        <f>VLOOKUP(B759,'Waste Lookups'!$B$1:$C$292,2,FALSE)</f>
        <v>#N/A</v>
      </c>
      <c r="D759" s="84">
        <v>200.31272727272727</v>
      </c>
      <c r="E759" s="84">
        <v>767.52</v>
      </c>
      <c r="F759" s="84">
        <v>0</v>
      </c>
      <c r="G759" s="84">
        <v>0</v>
      </c>
      <c r="H759" s="84">
        <v>0</v>
      </c>
      <c r="I759" s="84"/>
      <c r="J759" s="84">
        <v>42.000503392772607</v>
      </c>
      <c r="K759" s="84">
        <v>160.92949660722741</v>
      </c>
      <c r="L759" s="84">
        <v>0</v>
      </c>
      <c r="M759" s="84">
        <v>0</v>
      </c>
      <c r="N759" s="84">
        <v>0</v>
      </c>
    </row>
    <row r="760" spans="1:14" x14ac:dyDescent="0.25">
      <c r="A760" s="74" t="s">
        <v>2273</v>
      </c>
      <c r="B760" s="74">
        <v>4570</v>
      </c>
      <c r="C760" t="e">
        <f>VLOOKUP(B760,'Waste Lookups'!$B$1:$C$292,2,FALSE)</f>
        <v>#N/A</v>
      </c>
      <c r="D760" s="84">
        <v>0</v>
      </c>
      <c r="E760" s="84">
        <v>442.99636363636364</v>
      </c>
      <c r="F760" s="84">
        <v>0</v>
      </c>
      <c r="G760" s="84">
        <v>0</v>
      </c>
      <c r="H760" s="84">
        <v>4574.2909090909097</v>
      </c>
      <c r="I760" s="84"/>
      <c r="J760" s="84">
        <v>0</v>
      </c>
      <c r="K760" s="84">
        <v>429.23863332159209</v>
      </c>
      <c r="L760" s="84">
        <v>0</v>
      </c>
      <c r="M760" s="84">
        <v>0</v>
      </c>
      <c r="N760" s="84">
        <v>4432.2313666784084</v>
      </c>
    </row>
    <row r="761" spans="1:14" x14ac:dyDescent="0.25">
      <c r="A761" s="74" t="s">
        <v>2275</v>
      </c>
      <c r="B761" s="74">
        <v>4572</v>
      </c>
      <c r="C761" t="e">
        <f>VLOOKUP(B761,'Waste Lookups'!$B$1:$C$292,2,FALSE)</f>
        <v>#N/A</v>
      </c>
      <c r="D761" s="84">
        <v>0</v>
      </c>
      <c r="E761" s="84">
        <v>1944.2400000000002</v>
      </c>
      <c r="F761" s="84">
        <v>0</v>
      </c>
      <c r="G761" s="84">
        <v>0</v>
      </c>
      <c r="H761" s="84">
        <v>0</v>
      </c>
      <c r="I761" s="84"/>
      <c r="J761" s="84">
        <v>0</v>
      </c>
      <c r="K761" s="84">
        <v>0</v>
      </c>
      <c r="L761" s="84">
        <v>0</v>
      </c>
      <c r="M761" s="84">
        <v>0</v>
      </c>
      <c r="N761" s="84">
        <v>0</v>
      </c>
    </row>
    <row r="762" spans="1:14" x14ac:dyDescent="0.25">
      <c r="A762" s="74" t="s">
        <v>2277</v>
      </c>
      <c r="B762" s="74">
        <v>5010</v>
      </c>
      <c r="C762" t="e">
        <f>VLOOKUP(B762,'Waste Lookups'!$B$1:$C$292,2,FALSE)</f>
        <v>#N/A</v>
      </c>
      <c r="D762" s="84">
        <v>0</v>
      </c>
      <c r="E762" s="84">
        <v>359.28</v>
      </c>
      <c r="F762" s="84">
        <v>0</v>
      </c>
      <c r="G762" s="84">
        <v>0</v>
      </c>
      <c r="H762" s="84">
        <v>0</v>
      </c>
      <c r="I762" s="84"/>
      <c r="J762" s="84">
        <v>0</v>
      </c>
      <c r="K762" s="84">
        <v>0</v>
      </c>
      <c r="L762" s="84">
        <v>0</v>
      </c>
      <c r="M762" s="84">
        <v>0</v>
      </c>
      <c r="N762" s="84">
        <v>0</v>
      </c>
    </row>
    <row r="763" spans="1:14" x14ac:dyDescent="0.25">
      <c r="A763" s="74" t="s">
        <v>2279</v>
      </c>
      <c r="B763" s="74">
        <v>5013</v>
      </c>
      <c r="C763" t="e">
        <f>VLOOKUP(B763,'Waste Lookups'!$B$1:$C$292,2,FALSE)</f>
        <v>#N/A</v>
      </c>
      <c r="D763" s="84">
        <v>0</v>
      </c>
      <c r="E763" s="84">
        <v>604.36363636363637</v>
      </c>
      <c r="F763" s="84">
        <v>0</v>
      </c>
      <c r="G763" s="84">
        <v>0</v>
      </c>
      <c r="H763" s="84">
        <v>0</v>
      </c>
      <c r="I763" s="84"/>
      <c r="J763" s="84">
        <v>0</v>
      </c>
      <c r="K763" s="84">
        <v>1218.8</v>
      </c>
      <c r="L763" s="84">
        <v>0</v>
      </c>
      <c r="M763" s="84">
        <v>0</v>
      </c>
      <c r="N763" s="84">
        <v>0</v>
      </c>
    </row>
    <row r="764" spans="1:14" x14ac:dyDescent="0.25">
      <c r="A764" s="74" t="s">
        <v>2281</v>
      </c>
      <c r="B764" s="74">
        <v>5170</v>
      </c>
      <c r="C764" t="e">
        <f>VLOOKUP(B764,'Waste Lookups'!$B$1:$C$292,2,FALSE)</f>
        <v>#N/A</v>
      </c>
      <c r="D764" s="84">
        <v>0</v>
      </c>
      <c r="E764" s="84">
        <v>0</v>
      </c>
      <c r="F764" s="84">
        <v>0</v>
      </c>
      <c r="G764" s="84">
        <v>0</v>
      </c>
      <c r="H764" s="84">
        <v>0</v>
      </c>
      <c r="I764" s="84"/>
      <c r="J764" s="84">
        <v>0</v>
      </c>
      <c r="K764" s="84">
        <v>0</v>
      </c>
      <c r="L764" s="84">
        <v>0</v>
      </c>
      <c r="M764" s="84">
        <v>0</v>
      </c>
      <c r="N764" s="84">
        <v>0</v>
      </c>
    </row>
    <row r="765" spans="1:14" x14ac:dyDescent="0.25">
      <c r="A765" s="74" t="s">
        <v>2283</v>
      </c>
      <c r="B765" s="74">
        <v>5171</v>
      </c>
      <c r="C765" t="e">
        <f>VLOOKUP(B765,'Waste Lookups'!$B$1:$C$292,2,FALSE)</f>
        <v>#N/A</v>
      </c>
      <c r="D765" s="84">
        <v>0</v>
      </c>
      <c r="E765" s="84">
        <v>11124.741818181819</v>
      </c>
      <c r="F765" s="84">
        <v>0</v>
      </c>
      <c r="G765" s="84">
        <v>438.54545454545456</v>
      </c>
      <c r="H765" s="84">
        <v>914.26909090909089</v>
      </c>
      <c r="I765" s="84"/>
      <c r="J765" s="84">
        <v>0</v>
      </c>
      <c r="K765" s="84">
        <v>10877.634700500797</v>
      </c>
      <c r="L765" s="84">
        <v>0</v>
      </c>
      <c r="M765" s="84">
        <v>428.80431133368768</v>
      </c>
      <c r="N765" s="84">
        <v>893.96098816551478</v>
      </c>
    </row>
    <row r="766" spans="1:14" x14ac:dyDescent="0.25">
      <c r="A766" s="74" t="s">
        <v>2285</v>
      </c>
      <c r="B766" s="74">
        <v>5176</v>
      </c>
      <c r="C766" t="e">
        <f>VLOOKUP(B766,'Waste Lookups'!$B$1:$C$292,2,FALSE)</f>
        <v>#N/A</v>
      </c>
      <c r="D766" s="84">
        <v>0</v>
      </c>
      <c r="E766" s="84">
        <v>384.10909090909092</v>
      </c>
      <c r="F766" s="84">
        <v>0</v>
      </c>
      <c r="G766" s="84">
        <v>0</v>
      </c>
      <c r="H766" s="84">
        <v>0</v>
      </c>
      <c r="I766" s="84"/>
      <c r="J766" s="84">
        <v>0</v>
      </c>
      <c r="K766" s="84">
        <v>0</v>
      </c>
      <c r="L766" s="84">
        <v>0</v>
      </c>
      <c r="M766" s="84">
        <v>0</v>
      </c>
      <c r="N766" s="84">
        <v>0</v>
      </c>
    </row>
    <row r="767" spans="1:14" x14ac:dyDescent="0.25">
      <c r="A767" s="74" t="s">
        <v>2287</v>
      </c>
      <c r="B767" s="74">
        <v>5179</v>
      </c>
      <c r="C767" t="e">
        <f>VLOOKUP(B767,'Waste Lookups'!$B$1:$C$292,2,FALSE)</f>
        <v>#N/A</v>
      </c>
      <c r="D767" s="84">
        <v>0</v>
      </c>
      <c r="E767" s="84">
        <v>33.381818181818183</v>
      </c>
      <c r="F767" s="84">
        <v>0</v>
      </c>
      <c r="G767" s="84">
        <v>0</v>
      </c>
      <c r="H767" s="84">
        <v>0</v>
      </c>
      <c r="I767" s="84"/>
      <c r="J767" s="84">
        <v>0</v>
      </c>
      <c r="K767" s="84">
        <v>-30.6</v>
      </c>
      <c r="L767" s="84">
        <v>0</v>
      </c>
      <c r="M767" s="84">
        <v>0</v>
      </c>
      <c r="N767" s="84">
        <v>0</v>
      </c>
    </row>
    <row r="768" spans="1:14" x14ac:dyDescent="0.25">
      <c r="A768" s="74" t="s">
        <v>644</v>
      </c>
      <c r="B768" s="74">
        <v>5182</v>
      </c>
      <c r="C768" t="str">
        <f>VLOOKUP(B768,'Waste Lookups'!$B$1:$C$292,2,FALSE)</f>
        <v>William Farr House</v>
      </c>
      <c r="D768" s="84">
        <v>0</v>
      </c>
      <c r="E768" s="84">
        <v>9035.1381818181817</v>
      </c>
      <c r="F768" s="84">
        <v>0</v>
      </c>
      <c r="G768" s="84">
        <v>85.876363636363635</v>
      </c>
      <c r="H768" s="84">
        <v>17.28</v>
      </c>
      <c r="I768" s="84"/>
      <c r="J768" s="84">
        <v>0</v>
      </c>
      <c r="K768" s="84">
        <v>7135.2550626554148</v>
      </c>
      <c r="L768" s="84">
        <v>0</v>
      </c>
      <c r="M768" s="84">
        <v>67.818526520365253</v>
      </c>
      <c r="N768" s="84">
        <v>13.646410824219837</v>
      </c>
    </row>
    <row r="769" spans="1:14" x14ac:dyDescent="0.25">
      <c r="A769" s="74" t="s">
        <v>2290</v>
      </c>
      <c r="B769" s="74">
        <v>5202</v>
      </c>
      <c r="C769" t="e">
        <f>VLOOKUP(B769,'Waste Lookups'!$B$1:$C$292,2,FALSE)</f>
        <v>#N/A</v>
      </c>
      <c r="D769" s="84">
        <v>0</v>
      </c>
      <c r="E769" s="84">
        <v>113.68363636363635</v>
      </c>
      <c r="F769" s="84">
        <v>0</v>
      </c>
      <c r="G769" s="84">
        <v>0</v>
      </c>
      <c r="H769" s="84">
        <v>0</v>
      </c>
      <c r="I769" s="84"/>
      <c r="J769" s="84">
        <v>0</v>
      </c>
      <c r="K769" s="84">
        <v>29.13</v>
      </c>
      <c r="L769" s="84">
        <v>0</v>
      </c>
      <c r="M769" s="84">
        <v>0</v>
      </c>
      <c r="N769" s="84">
        <v>0</v>
      </c>
    </row>
    <row r="770" spans="1:14" x14ac:dyDescent="0.25">
      <c r="A770" s="74" t="s">
        <v>2292</v>
      </c>
      <c r="B770" s="74">
        <v>5203</v>
      </c>
      <c r="C770" t="e">
        <f>VLOOKUP(B770,'Waste Lookups'!$B$1:$C$292,2,FALSE)</f>
        <v>#N/A</v>
      </c>
      <c r="D770" s="84">
        <v>0</v>
      </c>
      <c r="E770" s="84">
        <v>1654.5163636363636</v>
      </c>
      <c r="F770" s="84">
        <v>0</v>
      </c>
      <c r="G770" s="84">
        <v>0</v>
      </c>
      <c r="H770" s="84">
        <v>74.618181818181824</v>
      </c>
      <c r="I770" s="84"/>
      <c r="J770" s="84">
        <v>0</v>
      </c>
      <c r="K770" s="84">
        <v>867.79280977136227</v>
      </c>
      <c r="L770" s="84">
        <v>0</v>
      </c>
      <c r="M770" s="84">
        <v>0</v>
      </c>
      <c r="N770" s="84">
        <v>39.13719022863777</v>
      </c>
    </row>
    <row r="771" spans="1:14" x14ac:dyDescent="0.25">
      <c r="A771" s="74" t="s">
        <v>2294</v>
      </c>
      <c r="B771" s="74">
        <v>5204</v>
      </c>
      <c r="C771" t="e">
        <f>VLOOKUP(B771,'Waste Lookups'!$B$1:$C$292,2,FALSE)</f>
        <v>#N/A</v>
      </c>
      <c r="D771" s="84">
        <v>0</v>
      </c>
      <c r="E771" s="84">
        <v>28.298181818181821</v>
      </c>
      <c r="F771" s="84">
        <v>0</v>
      </c>
      <c r="G771" s="84">
        <v>0</v>
      </c>
      <c r="H771" s="84">
        <v>23.192727272727275</v>
      </c>
      <c r="I771" s="84"/>
      <c r="J771" s="84">
        <v>0</v>
      </c>
      <c r="K771" s="84">
        <v>122.66542372881354</v>
      </c>
      <c r="L771" s="84">
        <v>0</v>
      </c>
      <c r="M771" s="84">
        <v>0</v>
      </c>
      <c r="N771" s="84">
        <v>100.53457627118642</v>
      </c>
    </row>
    <row r="772" spans="1:14" x14ac:dyDescent="0.25">
      <c r="A772" s="74" t="s">
        <v>645</v>
      </c>
      <c r="B772" s="74">
        <v>5205</v>
      </c>
      <c r="C772" t="str">
        <f>VLOOKUP(B772,'Waste Lookups'!$B$1:$C$292,2,FALSE)</f>
        <v>Halesfield 6</v>
      </c>
      <c r="D772" s="84">
        <v>13.298181818181817</v>
      </c>
      <c r="E772" s="84">
        <v>1137.5563636363636</v>
      </c>
      <c r="F772" s="84">
        <v>0</v>
      </c>
      <c r="G772" s="84">
        <v>1614.5672727272727</v>
      </c>
      <c r="H772" s="84">
        <v>1836.3054545454547</v>
      </c>
      <c r="I772" s="84"/>
      <c r="J772" s="84">
        <v>14.36294534463344</v>
      </c>
      <c r="K772" s="84">
        <v>1228.6386290049193</v>
      </c>
      <c r="L772" s="84">
        <v>0</v>
      </c>
      <c r="M772" s="84">
        <v>1743.8430163219346</v>
      </c>
      <c r="N772" s="84">
        <v>1983.3354093285136</v>
      </c>
    </row>
    <row r="773" spans="1:14" x14ac:dyDescent="0.25">
      <c r="A773" s="74" t="s">
        <v>2297</v>
      </c>
      <c r="B773" s="74">
        <v>5214</v>
      </c>
      <c r="C773" t="e">
        <f>VLOOKUP(B773,'Waste Lookups'!$B$1:$C$292,2,FALSE)</f>
        <v>#N/A</v>
      </c>
      <c r="D773" s="84">
        <v>0</v>
      </c>
      <c r="E773" s="84">
        <v>0</v>
      </c>
      <c r="F773" s="84">
        <v>0</v>
      </c>
      <c r="G773" s="84">
        <v>0</v>
      </c>
      <c r="H773" s="84">
        <v>0</v>
      </c>
      <c r="I773" s="84"/>
      <c r="J773" s="84">
        <v>0</v>
      </c>
      <c r="K773" s="84">
        <v>0</v>
      </c>
      <c r="L773" s="84">
        <v>0</v>
      </c>
      <c r="M773" s="84">
        <v>0</v>
      </c>
      <c r="N773" s="84">
        <v>0</v>
      </c>
    </row>
    <row r="774" spans="1:14" x14ac:dyDescent="0.25">
      <c r="A774" s="74" t="s">
        <v>2299</v>
      </c>
      <c r="B774" s="74">
        <v>5215</v>
      </c>
      <c r="C774" t="e">
        <f>VLOOKUP(B774,'Waste Lookups'!$B$1:$C$292,2,FALSE)</f>
        <v>#N/A</v>
      </c>
      <c r="D774" s="84">
        <v>0</v>
      </c>
      <c r="E774" s="84">
        <v>444.74181818181819</v>
      </c>
      <c r="F774" s="84">
        <v>0</v>
      </c>
      <c r="G774" s="84">
        <v>0</v>
      </c>
      <c r="H774" s="84">
        <v>34.974545454545456</v>
      </c>
      <c r="I774" s="84"/>
      <c r="J774" s="84">
        <v>0</v>
      </c>
      <c r="K774" s="84">
        <v>305.23619229544727</v>
      </c>
      <c r="L774" s="84">
        <v>0</v>
      </c>
      <c r="M774" s="84">
        <v>0</v>
      </c>
      <c r="N774" s="84">
        <v>24.003807704552692</v>
      </c>
    </row>
    <row r="775" spans="1:14" x14ac:dyDescent="0.25">
      <c r="A775" s="74" t="s">
        <v>2301</v>
      </c>
      <c r="B775" s="74">
        <v>5233</v>
      </c>
      <c r="C775" t="e">
        <f>VLOOKUP(B775,'Waste Lookups'!$B$1:$C$292,2,FALSE)</f>
        <v>#N/A</v>
      </c>
      <c r="D775" s="84">
        <v>2927.7163636363634</v>
      </c>
      <c r="E775" s="84">
        <v>329.78181818181821</v>
      </c>
      <c r="F775" s="84">
        <v>0</v>
      </c>
      <c r="G775" s="84">
        <v>0</v>
      </c>
      <c r="H775" s="84">
        <v>0</v>
      </c>
      <c r="I775" s="84"/>
      <c r="J775" s="84">
        <v>131.5787919786741</v>
      </c>
      <c r="K775" s="84">
        <v>14.821208021325905</v>
      </c>
      <c r="L775" s="84">
        <v>0</v>
      </c>
      <c r="M775" s="84">
        <v>0</v>
      </c>
      <c r="N775" s="84">
        <v>0</v>
      </c>
    </row>
    <row r="776" spans="1:14" x14ac:dyDescent="0.25">
      <c r="A776" s="74" t="s">
        <v>2303</v>
      </c>
      <c r="B776" s="74">
        <v>5237</v>
      </c>
      <c r="C776" t="e">
        <f>VLOOKUP(B776,'Waste Lookups'!$B$1:$C$292,2,FALSE)</f>
        <v>#N/A</v>
      </c>
      <c r="D776" s="84">
        <v>0</v>
      </c>
      <c r="E776" s="84">
        <v>283.20000000000005</v>
      </c>
      <c r="F776" s="84">
        <v>0</v>
      </c>
      <c r="G776" s="84">
        <v>0</v>
      </c>
      <c r="H776" s="84">
        <v>0</v>
      </c>
      <c r="I776" s="84"/>
      <c r="J776" s="84">
        <v>0</v>
      </c>
      <c r="K776" s="84">
        <v>0</v>
      </c>
      <c r="L776" s="84">
        <v>0</v>
      </c>
      <c r="M776" s="84">
        <v>0</v>
      </c>
      <c r="N776" s="84">
        <v>0</v>
      </c>
    </row>
    <row r="777" spans="1:14" x14ac:dyDescent="0.25">
      <c r="A777" s="74" t="s">
        <v>2305</v>
      </c>
      <c r="B777" s="74">
        <v>5238</v>
      </c>
      <c r="C777" t="e">
        <f>VLOOKUP(B777,'Waste Lookups'!$B$1:$C$292,2,FALSE)</f>
        <v>#N/A</v>
      </c>
      <c r="D777" s="84">
        <v>0</v>
      </c>
      <c r="E777" s="84">
        <v>88.974545454545463</v>
      </c>
      <c r="F777" s="84">
        <v>0</v>
      </c>
      <c r="G777" s="84">
        <v>0</v>
      </c>
      <c r="H777" s="84">
        <v>0</v>
      </c>
      <c r="I777" s="84"/>
      <c r="J777" s="84">
        <v>0</v>
      </c>
      <c r="K777" s="84">
        <v>0</v>
      </c>
      <c r="L777" s="84">
        <v>0</v>
      </c>
      <c r="M777" s="84">
        <v>0</v>
      </c>
      <c r="N777" s="84">
        <v>0</v>
      </c>
    </row>
    <row r="778" spans="1:14" x14ac:dyDescent="0.25">
      <c r="A778" s="74" t="s">
        <v>2307</v>
      </c>
      <c r="B778" s="74">
        <v>5240</v>
      </c>
      <c r="C778" t="e">
        <f>VLOOKUP(B778,'Waste Lookups'!$B$1:$C$292,2,FALSE)</f>
        <v>#N/A</v>
      </c>
      <c r="D778" s="84">
        <v>3718.9527272727273</v>
      </c>
      <c r="E778" s="84">
        <v>0</v>
      </c>
      <c r="F778" s="84">
        <v>0</v>
      </c>
      <c r="G778" s="84">
        <v>0</v>
      </c>
      <c r="H778" s="84">
        <v>0</v>
      </c>
      <c r="I778" s="84"/>
      <c r="J778" s="84">
        <v>0</v>
      </c>
      <c r="K778" s="84">
        <v>0</v>
      </c>
      <c r="L778" s="84">
        <v>0</v>
      </c>
      <c r="M778" s="84">
        <v>0</v>
      </c>
      <c r="N778" s="84">
        <v>0</v>
      </c>
    </row>
    <row r="779" spans="1:14" x14ac:dyDescent="0.25">
      <c r="A779" s="74" t="s">
        <v>2309</v>
      </c>
      <c r="B779" s="74">
        <v>5242</v>
      </c>
      <c r="C779" t="e">
        <f>VLOOKUP(B779,'Waste Lookups'!$B$1:$C$292,2,FALSE)</f>
        <v>#N/A</v>
      </c>
      <c r="D779" s="84">
        <v>3622.3418181818183</v>
      </c>
      <c r="E779" s="84">
        <v>95.04</v>
      </c>
      <c r="F779" s="84">
        <v>0</v>
      </c>
      <c r="G779" s="84">
        <v>0</v>
      </c>
      <c r="H779" s="84">
        <v>0</v>
      </c>
      <c r="I779" s="84"/>
      <c r="J779" s="84">
        <v>0</v>
      </c>
      <c r="K779" s="84">
        <v>0</v>
      </c>
      <c r="L779" s="84">
        <v>0</v>
      </c>
      <c r="M779" s="84">
        <v>0</v>
      </c>
      <c r="N779" s="84">
        <v>0</v>
      </c>
    </row>
    <row r="780" spans="1:14" x14ac:dyDescent="0.25">
      <c r="A780" s="74" t="s">
        <v>2311</v>
      </c>
      <c r="B780" s="74">
        <v>5243</v>
      </c>
      <c r="C780" t="e">
        <f>VLOOKUP(B780,'Waste Lookups'!$B$1:$C$292,2,FALSE)</f>
        <v>#N/A</v>
      </c>
      <c r="D780" s="84">
        <v>12704.269090909092</v>
      </c>
      <c r="E780" s="84">
        <v>509.3890909090909</v>
      </c>
      <c r="F780" s="84">
        <v>0</v>
      </c>
      <c r="G780" s="84">
        <v>0</v>
      </c>
      <c r="H780" s="84">
        <v>0</v>
      </c>
      <c r="I780" s="84"/>
      <c r="J780" s="84">
        <v>0</v>
      </c>
      <c r="K780" s="84">
        <v>0</v>
      </c>
      <c r="L780" s="84">
        <v>0</v>
      </c>
      <c r="M780" s="84">
        <v>0</v>
      </c>
      <c r="N780" s="84">
        <v>0</v>
      </c>
    </row>
    <row r="781" spans="1:14" x14ac:dyDescent="0.25">
      <c r="A781" s="74" t="s">
        <v>2313</v>
      </c>
      <c r="B781" s="74">
        <v>5244</v>
      </c>
      <c r="C781" t="e">
        <f>VLOOKUP(B781,'Waste Lookups'!$B$1:$C$292,2,FALSE)</f>
        <v>#N/A</v>
      </c>
      <c r="D781" s="84">
        <v>21775.919999999998</v>
      </c>
      <c r="E781" s="84">
        <v>231.91636363636366</v>
      </c>
      <c r="F781" s="84">
        <v>0</v>
      </c>
      <c r="G781" s="84">
        <v>0</v>
      </c>
      <c r="H781" s="84">
        <v>0</v>
      </c>
      <c r="I781" s="84"/>
      <c r="J781" s="84">
        <v>467.52084257590894</v>
      </c>
      <c r="K781" s="84">
        <v>4.9791574240910892</v>
      </c>
      <c r="L781" s="84">
        <v>0</v>
      </c>
      <c r="M781" s="84">
        <v>0</v>
      </c>
      <c r="N781" s="84">
        <v>0</v>
      </c>
    </row>
    <row r="782" spans="1:14" x14ac:dyDescent="0.25">
      <c r="A782" s="74" t="s">
        <v>2315</v>
      </c>
      <c r="B782" s="74">
        <v>5245</v>
      </c>
      <c r="C782" t="e">
        <f>VLOOKUP(B782,'Waste Lookups'!$B$1:$C$292,2,FALSE)</f>
        <v>#N/A</v>
      </c>
      <c r="D782" s="84">
        <v>2152.9963636363636</v>
      </c>
      <c r="E782" s="84">
        <v>0</v>
      </c>
      <c r="F782" s="84">
        <v>0</v>
      </c>
      <c r="G782" s="84">
        <v>0</v>
      </c>
      <c r="H782" s="84">
        <v>0</v>
      </c>
      <c r="I782" s="84"/>
      <c r="J782" s="84">
        <v>0</v>
      </c>
      <c r="K782" s="84">
        <v>0</v>
      </c>
      <c r="L782" s="84">
        <v>0</v>
      </c>
      <c r="M782" s="84">
        <v>0</v>
      </c>
      <c r="N782" s="84">
        <v>0</v>
      </c>
    </row>
    <row r="783" spans="1:14" x14ac:dyDescent="0.25">
      <c r="A783" s="74" t="s">
        <v>2317</v>
      </c>
      <c r="B783" s="74">
        <v>5249</v>
      </c>
      <c r="C783" t="e">
        <f>VLOOKUP(B783,'Waste Lookups'!$B$1:$C$292,2,FALSE)</f>
        <v>#N/A</v>
      </c>
      <c r="D783" s="84">
        <v>2751.5454545454545</v>
      </c>
      <c r="E783" s="84">
        <v>101.71636363636364</v>
      </c>
      <c r="F783" s="84">
        <v>0</v>
      </c>
      <c r="G783" s="84">
        <v>0</v>
      </c>
      <c r="H783" s="84">
        <v>0</v>
      </c>
      <c r="I783" s="84"/>
      <c r="J783" s="84">
        <v>0</v>
      </c>
      <c r="K783" s="84">
        <v>0</v>
      </c>
      <c r="L783" s="84">
        <v>0</v>
      </c>
      <c r="M783" s="84">
        <v>0</v>
      </c>
      <c r="N783" s="84">
        <v>0</v>
      </c>
    </row>
    <row r="784" spans="1:14" x14ac:dyDescent="0.25">
      <c r="A784" s="74" t="s">
        <v>2319</v>
      </c>
      <c r="B784" s="74">
        <v>5250</v>
      </c>
      <c r="C784" t="e">
        <f>VLOOKUP(B784,'Waste Lookups'!$B$1:$C$292,2,FALSE)</f>
        <v>#N/A</v>
      </c>
      <c r="D784" s="84">
        <v>119.49818181818182</v>
      </c>
      <c r="E784" s="84">
        <v>0</v>
      </c>
      <c r="F784" s="84">
        <v>0</v>
      </c>
      <c r="G784" s="84">
        <v>0</v>
      </c>
      <c r="H784" s="84">
        <v>0</v>
      </c>
      <c r="I784" s="84"/>
      <c r="J784" s="84">
        <v>0</v>
      </c>
      <c r="K784" s="84">
        <v>0</v>
      </c>
      <c r="L784" s="84">
        <v>0</v>
      </c>
      <c r="M784" s="84">
        <v>0</v>
      </c>
      <c r="N784" s="84">
        <v>0</v>
      </c>
    </row>
    <row r="785" spans="1:14" x14ac:dyDescent="0.25">
      <c r="A785" s="74" t="s">
        <v>2321</v>
      </c>
      <c r="B785" s="74">
        <v>5253</v>
      </c>
      <c r="C785" t="e">
        <f>VLOOKUP(B785,'Waste Lookups'!$B$1:$C$292,2,FALSE)</f>
        <v>#N/A</v>
      </c>
      <c r="D785" s="84">
        <v>0</v>
      </c>
      <c r="E785" s="84">
        <v>347.84727272727275</v>
      </c>
      <c r="F785" s="84">
        <v>261.81818181818181</v>
      </c>
      <c r="G785" s="84">
        <v>0</v>
      </c>
      <c r="H785" s="84">
        <v>0</v>
      </c>
      <c r="I785" s="84"/>
      <c r="J785" s="84">
        <v>0</v>
      </c>
      <c r="K785" s="84">
        <v>0</v>
      </c>
      <c r="L785" s="84">
        <v>0</v>
      </c>
      <c r="M785" s="84">
        <v>0</v>
      </c>
      <c r="N785" s="84">
        <v>0</v>
      </c>
    </row>
    <row r="786" spans="1:14" x14ac:dyDescent="0.25">
      <c r="A786" s="74" t="s">
        <v>2323</v>
      </c>
      <c r="B786" s="74">
        <v>5260</v>
      </c>
      <c r="C786" t="e">
        <f>VLOOKUP(B786,'Waste Lookups'!$B$1:$C$292,2,FALSE)</f>
        <v>#N/A</v>
      </c>
      <c r="D786" s="84">
        <v>1151.52</v>
      </c>
      <c r="E786" s="84">
        <v>0</v>
      </c>
      <c r="F786" s="84">
        <v>0</v>
      </c>
      <c r="G786" s="84">
        <v>0</v>
      </c>
      <c r="H786" s="84">
        <v>0</v>
      </c>
      <c r="I786" s="84"/>
      <c r="J786" s="84">
        <v>0</v>
      </c>
      <c r="K786" s="84">
        <v>0</v>
      </c>
      <c r="L786" s="84">
        <v>0</v>
      </c>
      <c r="M786" s="84">
        <v>0</v>
      </c>
      <c r="N786" s="84">
        <v>0</v>
      </c>
    </row>
    <row r="787" spans="1:14" x14ac:dyDescent="0.25">
      <c r="A787" s="74" t="s">
        <v>2325</v>
      </c>
      <c r="B787" s="74">
        <v>5262</v>
      </c>
      <c r="C787" t="e">
        <f>VLOOKUP(B787,'Waste Lookups'!$B$1:$C$292,2,FALSE)</f>
        <v>#N/A</v>
      </c>
      <c r="D787" s="84">
        <v>8249.5418181818186</v>
      </c>
      <c r="E787" s="84">
        <v>624.69818181818175</v>
      </c>
      <c r="F787" s="84">
        <v>0</v>
      </c>
      <c r="G787" s="84">
        <v>0</v>
      </c>
      <c r="H787" s="84">
        <v>0</v>
      </c>
      <c r="I787" s="84"/>
      <c r="J787" s="84">
        <v>0</v>
      </c>
      <c r="K787" s="84">
        <v>0</v>
      </c>
      <c r="L787" s="84">
        <v>0</v>
      </c>
      <c r="M787" s="84">
        <v>0</v>
      </c>
      <c r="N787" s="84">
        <v>0</v>
      </c>
    </row>
    <row r="788" spans="1:14" x14ac:dyDescent="0.25">
      <c r="A788" s="74" t="s">
        <v>2327</v>
      </c>
      <c r="B788" s="74">
        <v>5263</v>
      </c>
      <c r="C788" t="e">
        <f>VLOOKUP(B788,'Waste Lookups'!$B$1:$C$292,2,FALSE)</f>
        <v>#N/A</v>
      </c>
      <c r="D788" s="84">
        <v>4120.374545454546</v>
      </c>
      <c r="E788" s="84">
        <v>195.73090909090905</v>
      </c>
      <c r="F788" s="84">
        <v>0</v>
      </c>
      <c r="G788" s="84">
        <v>0</v>
      </c>
      <c r="H788" s="84">
        <v>0</v>
      </c>
      <c r="I788" s="84"/>
      <c r="J788" s="84">
        <v>0</v>
      </c>
      <c r="K788" s="84">
        <v>0</v>
      </c>
      <c r="L788" s="84">
        <v>0</v>
      </c>
      <c r="M788" s="84">
        <v>0</v>
      </c>
      <c r="N788" s="84">
        <v>0</v>
      </c>
    </row>
    <row r="789" spans="1:14" x14ac:dyDescent="0.25">
      <c r="A789" s="74" t="s">
        <v>2329</v>
      </c>
      <c r="B789" s="74">
        <v>5264</v>
      </c>
      <c r="C789" t="e">
        <f>VLOOKUP(B789,'Waste Lookups'!$B$1:$C$292,2,FALSE)</f>
        <v>#N/A</v>
      </c>
      <c r="D789" s="84">
        <v>2641.8545454545451</v>
      </c>
      <c r="E789" s="84">
        <v>147.4581818181818</v>
      </c>
      <c r="F789" s="84">
        <v>0</v>
      </c>
      <c r="G789" s="84">
        <v>0</v>
      </c>
      <c r="H789" s="84">
        <v>0</v>
      </c>
      <c r="I789" s="84"/>
      <c r="J789" s="84">
        <v>0</v>
      </c>
      <c r="K789" s="84">
        <v>0</v>
      </c>
      <c r="L789" s="84">
        <v>0</v>
      </c>
      <c r="M789" s="84">
        <v>0</v>
      </c>
      <c r="N789" s="84">
        <v>0</v>
      </c>
    </row>
    <row r="790" spans="1:14" x14ac:dyDescent="0.25">
      <c r="A790" s="74" t="s">
        <v>2331</v>
      </c>
      <c r="B790" s="74">
        <v>5265</v>
      </c>
      <c r="C790" t="e">
        <f>VLOOKUP(B790,'Waste Lookups'!$B$1:$C$292,2,FALSE)</f>
        <v>#N/A</v>
      </c>
      <c r="D790" s="84">
        <v>628.50545454545454</v>
      </c>
      <c r="E790" s="84">
        <v>0</v>
      </c>
      <c r="F790" s="84">
        <v>0</v>
      </c>
      <c r="G790" s="84">
        <v>0</v>
      </c>
      <c r="H790" s="84">
        <v>0</v>
      </c>
      <c r="I790" s="84"/>
      <c r="J790" s="84">
        <v>0</v>
      </c>
      <c r="K790" s="84">
        <v>0</v>
      </c>
      <c r="L790" s="84">
        <v>0</v>
      </c>
      <c r="M790" s="84">
        <v>0</v>
      </c>
      <c r="N790" s="84">
        <v>0</v>
      </c>
    </row>
    <row r="791" spans="1:14" x14ac:dyDescent="0.25">
      <c r="A791" s="74" t="s">
        <v>2333</v>
      </c>
      <c r="B791" s="74">
        <v>5266</v>
      </c>
      <c r="C791" t="e">
        <f>VLOOKUP(B791,'Waste Lookups'!$B$1:$C$292,2,FALSE)</f>
        <v>#N/A</v>
      </c>
      <c r="D791" s="84">
        <v>7555.9636363636364</v>
      </c>
      <c r="E791" s="84">
        <v>396.80727272727279</v>
      </c>
      <c r="F791" s="84">
        <v>0</v>
      </c>
      <c r="G791" s="84">
        <v>0</v>
      </c>
      <c r="H791" s="84">
        <v>0</v>
      </c>
      <c r="I791" s="84"/>
      <c r="J791" s="84">
        <v>257.66834749877916</v>
      </c>
      <c r="K791" s="84">
        <v>13.531652501220844</v>
      </c>
      <c r="L791" s="84">
        <v>0</v>
      </c>
      <c r="M791" s="84">
        <v>0</v>
      </c>
      <c r="N791" s="84">
        <v>0</v>
      </c>
    </row>
    <row r="792" spans="1:14" x14ac:dyDescent="0.25">
      <c r="A792" s="74" t="s">
        <v>2335</v>
      </c>
      <c r="B792" s="74">
        <v>5267</v>
      </c>
      <c r="C792" t="e">
        <f>VLOOKUP(B792,'Waste Lookups'!$B$1:$C$292,2,FALSE)</f>
        <v>#N/A</v>
      </c>
      <c r="D792" s="84">
        <v>14763.458181818181</v>
      </c>
      <c r="E792" s="84">
        <v>612.81818181818187</v>
      </c>
      <c r="F792" s="84">
        <v>0</v>
      </c>
      <c r="G792" s="84">
        <v>0</v>
      </c>
      <c r="H792" s="84">
        <v>0</v>
      </c>
      <c r="I792" s="84"/>
      <c r="J792" s="84">
        <v>82.956546613957372</v>
      </c>
      <c r="K792" s="84">
        <v>3.4434533860426315</v>
      </c>
      <c r="L792" s="84">
        <v>0</v>
      </c>
      <c r="M792" s="84">
        <v>0</v>
      </c>
      <c r="N792" s="84">
        <v>0</v>
      </c>
    </row>
    <row r="793" spans="1:14" x14ac:dyDescent="0.25">
      <c r="A793" s="74" t="s">
        <v>2337</v>
      </c>
      <c r="B793" s="74">
        <v>5269</v>
      </c>
      <c r="C793" t="e">
        <f>VLOOKUP(B793,'Waste Lookups'!$B$1:$C$292,2,FALSE)</f>
        <v>#N/A</v>
      </c>
      <c r="D793" s="84">
        <v>4640.3890909090906</v>
      </c>
      <c r="E793" s="84">
        <v>356.59636363636361</v>
      </c>
      <c r="F793" s="84">
        <v>0</v>
      </c>
      <c r="G793" s="84">
        <v>0</v>
      </c>
      <c r="H793" s="84">
        <v>0</v>
      </c>
      <c r="I793" s="84"/>
      <c r="J793" s="84">
        <v>0</v>
      </c>
      <c r="K793" s="84">
        <v>0</v>
      </c>
      <c r="L793" s="84">
        <v>0</v>
      </c>
      <c r="M793" s="84">
        <v>0</v>
      </c>
      <c r="N793" s="84">
        <v>0</v>
      </c>
    </row>
    <row r="794" spans="1:14" x14ac:dyDescent="0.25">
      <c r="A794" s="74" t="s">
        <v>2339</v>
      </c>
      <c r="B794" s="74">
        <v>5272</v>
      </c>
      <c r="C794" t="e">
        <f>VLOOKUP(B794,'Waste Lookups'!$B$1:$C$292,2,FALSE)</f>
        <v>#N/A</v>
      </c>
      <c r="D794" s="84">
        <v>5403.0545454545454</v>
      </c>
      <c r="E794" s="84">
        <v>464.35636363636365</v>
      </c>
      <c r="F794" s="84">
        <v>0</v>
      </c>
      <c r="G794" s="84">
        <v>0</v>
      </c>
      <c r="H794" s="84">
        <v>0</v>
      </c>
      <c r="I794" s="84"/>
      <c r="J794" s="84">
        <v>0</v>
      </c>
      <c r="K794" s="84">
        <v>0</v>
      </c>
      <c r="L794" s="84">
        <v>0</v>
      </c>
      <c r="M794" s="84">
        <v>0</v>
      </c>
      <c r="N794" s="84">
        <v>0</v>
      </c>
    </row>
    <row r="795" spans="1:14" x14ac:dyDescent="0.25">
      <c r="A795" s="74" t="s">
        <v>2341</v>
      </c>
      <c r="B795" s="74">
        <v>5273</v>
      </c>
      <c r="C795" t="e">
        <f>VLOOKUP(B795,'Waste Lookups'!$B$1:$C$292,2,FALSE)</f>
        <v>#N/A</v>
      </c>
      <c r="D795" s="84">
        <v>3301.3090909090906</v>
      </c>
      <c r="E795" s="84">
        <v>93.839999999999989</v>
      </c>
      <c r="F795" s="84">
        <v>0</v>
      </c>
      <c r="G795" s="84">
        <v>0</v>
      </c>
      <c r="H795" s="84">
        <v>0</v>
      </c>
      <c r="I795" s="84"/>
      <c r="J795" s="84">
        <v>0</v>
      </c>
      <c r="K795" s="84">
        <v>0</v>
      </c>
      <c r="L795" s="84">
        <v>0</v>
      </c>
      <c r="M795" s="84">
        <v>0</v>
      </c>
      <c r="N795" s="84">
        <v>0</v>
      </c>
    </row>
    <row r="796" spans="1:14" x14ac:dyDescent="0.25">
      <c r="A796" s="74" t="s">
        <v>2343</v>
      </c>
      <c r="B796" s="74">
        <v>5275</v>
      </c>
      <c r="C796" t="e">
        <f>VLOOKUP(B796,'Waste Lookups'!$B$1:$C$292,2,FALSE)</f>
        <v>#N/A</v>
      </c>
      <c r="D796" s="84">
        <v>3122.2145454545453</v>
      </c>
      <c r="E796" s="84">
        <v>289.78909090909087</v>
      </c>
      <c r="F796" s="84">
        <v>0</v>
      </c>
      <c r="G796" s="84">
        <v>0</v>
      </c>
      <c r="H796" s="84">
        <v>0</v>
      </c>
      <c r="I796" s="84"/>
      <c r="J796" s="84">
        <v>930.95334252015073</v>
      </c>
      <c r="K796" s="84">
        <v>86.406657479849201</v>
      </c>
      <c r="L796" s="84">
        <v>0</v>
      </c>
      <c r="M796" s="84">
        <v>0</v>
      </c>
      <c r="N796" s="84">
        <v>0</v>
      </c>
    </row>
    <row r="797" spans="1:14" x14ac:dyDescent="0.25">
      <c r="A797" s="74" t="s">
        <v>2345</v>
      </c>
      <c r="B797" s="74">
        <v>5276</v>
      </c>
      <c r="C797" t="e">
        <f>VLOOKUP(B797,'Waste Lookups'!$B$1:$C$292,2,FALSE)</f>
        <v>#N/A</v>
      </c>
      <c r="D797" s="84">
        <v>5168.312727272727</v>
      </c>
      <c r="E797" s="84">
        <v>0</v>
      </c>
      <c r="F797" s="84">
        <v>0</v>
      </c>
      <c r="G797" s="84">
        <v>0</v>
      </c>
      <c r="H797" s="84">
        <v>197.93454545454546</v>
      </c>
      <c r="I797" s="84"/>
      <c r="J797" s="84">
        <v>1437.1215352526701</v>
      </c>
      <c r="K797" s="84">
        <v>0</v>
      </c>
      <c r="L797" s="84">
        <v>0</v>
      </c>
      <c r="M797" s="84">
        <v>0</v>
      </c>
      <c r="N797" s="84">
        <v>55.038464747329783</v>
      </c>
    </row>
    <row r="798" spans="1:14" x14ac:dyDescent="0.25">
      <c r="A798" s="74" t="s">
        <v>2347</v>
      </c>
      <c r="B798" s="74">
        <v>5277</v>
      </c>
      <c r="C798" t="e">
        <f>VLOOKUP(B798,'Waste Lookups'!$B$1:$C$292,2,FALSE)</f>
        <v>#N/A</v>
      </c>
      <c r="D798" s="84">
        <v>5499.9709090909091</v>
      </c>
      <c r="E798" s="84">
        <v>182.50909090909093</v>
      </c>
      <c r="F798" s="84">
        <v>0</v>
      </c>
      <c r="G798" s="84">
        <v>0</v>
      </c>
      <c r="H798" s="84">
        <v>161.28</v>
      </c>
      <c r="I798" s="84"/>
      <c r="J798" s="84">
        <v>2881.7304146147499</v>
      </c>
      <c r="K798" s="84">
        <v>95.626323649655205</v>
      </c>
      <c r="L798" s="84">
        <v>0</v>
      </c>
      <c r="M798" s="84">
        <v>0</v>
      </c>
      <c r="N798" s="84">
        <v>84.50326173559489</v>
      </c>
    </row>
    <row r="799" spans="1:14" x14ac:dyDescent="0.25">
      <c r="A799" s="74" t="s">
        <v>2349</v>
      </c>
      <c r="B799" s="74">
        <v>5278</v>
      </c>
      <c r="C799" t="e">
        <f>VLOOKUP(B799,'Waste Lookups'!$B$1:$C$292,2,FALSE)</f>
        <v>#N/A</v>
      </c>
      <c r="D799" s="84">
        <v>6000</v>
      </c>
      <c r="E799" s="84">
        <v>0</v>
      </c>
      <c r="F799" s="84">
        <v>0</v>
      </c>
      <c r="G799" s="84">
        <v>0</v>
      </c>
      <c r="H799" s="84">
        <v>0</v>
      </c>
      <c r="I799" s="84"/>
      <c r="J799" s="84">
        <v>3441.17</v>
      </c>
      <c r="K799" s="84">
        <v>0</v>
      </c>
      <c r="L799" s="84">
        <v>0</v>
      </c>
      <c r="M799" s="84">
        <v>0</v>
      </c>
      <c r="N799" s="84">
        <v>0</v>
      </c>
    </row>
    <row r="800" spans="1:14" x14ac:dyDescent="0.25">
      <c r="A800" s="74" t="s">
        <v>2351</v>
      </c>
      <c r="B800" s="74">
        <v>5279</v>
      </c>
      <c r="C800" t="e">
        <f>VLOOKUP(B800,'Waste Lookups'!$B$1:$C$292,2,FALSE)</f>
        <v>#N/A</v>
      </c>
      <c r="D800" s="84">
        <v>6000</v>
      </c>
      <c r="E800" s="84">
        <v>0</v>
      </c>
      <c r="F800" s="84">
        <v>0</v>
      </c>
      <c r="G800" s="84">
        <v>0</v>
      </c>
      <c r="H800" s="84">
        <v>0</v>
      </c>
      <c r="I800" s="84"/>
      <c r="J800" s="84">
        <v>11510.57</v>
      </c>
      <c r="K800" s="84">
        <v>0</v>
      </c>
      <c r="L800" s="84">
        <v>0</v>
      </c>
      <c r="M800" s="84">
        <v>0</v>
      </c>
      <c r="N800" s="84">
        <v>0</v>
      </c>
    </row>
    <row r="801" spans="1:14" x14ac:dyDescent="0.25">
      <c r="A801" s="74" t="s">
        <v>2353</v>
      </c>
      <c r="B801" s="74">
        <v>5280</v>
      </c>
      <c r="C801" t="e">
        <f>VLOOKUP(B801,'Waste Lookups'!$B$1:$C$292,2,FALSE)</f>
        <v>#N/A</v>
      </c>
      <c r="D801" s="84">
        <v>6000</v>
      </c>
      <c r="E801" s="84">
        <v>0</v>
      </c>
      <c r="F801" s="84">
        <v>0</v>
      </c>
      <c r="G801" s="84">
        <v>0</v>
      </c>
      <c r="H801" s="84">
        <v>0</v>
      </c>
      <c r="I801" s="84"/>
      <c r="J801" s="84">
        <v>8742.8799999999992</v>
      </c>
      <c r="K801" s="84">
        <v>0</v>
      </c>
      <c r="L801" s="84">
        <v>0</v>
      </c>
      <c r="M801" s="84">
        <v>0</v>
      </c>
      <c r="N801" s="84">
        <v>0</v>
      </c>
    </row>
    <row r="802" spans="1:14" x14ac:dyDescent="0.25">
      <c r="A802" s="74" t="s">
        <v>2355</v>
      </c>
      <c r="B802" s="74">
        <v>5281</v>
      </c>
      <c r="C802" t="e">
        <f>VLOOKUP(B802,'Waste Lookups'!$B$1:$C$292,2,FALSE)</f>
        <v>#N/A</v>
      </c>
      <c r="D802" s="84">
        <v>7999.9963636363627</v>
      </c>
      <c r="E802" s="84">
        <v>0</v>
      </c>
      <c r="F802" s="84">
        <v>0</v>
      </c>
      <c r="G802" s="84">
        <v>0</v>
      </c>
      <c r="H802" s="84">
        <v>0</v>
      </c>
      <c r="I802" s="84"/>
      <c r="J802" s="84">
        <v>2599.9299999999998</v>
      </c>
      <c r="K802" s="84">
        <v>0</v>
      </c>
      <c r="L802" s="84">
        <v>0</v>
      </c>
      <c r="M802" s="84">
        <v>0</v>
      </c>
      <c r="N802" s="84">
        <v>0</v>
      </c>
    </row>
    <row r="803" spans="1:14" x14ac:dyDescent="0.25">
      <c r="A803" s="74" t="s">
        <v>2357</v>
      </c>
      <c r="B803" s="74">
        <v>5282</v>
      </c>
      <c r="C803" t="e">
        <f>VLOOKUP(B803,'Waste Lookups'!$B$1:$C$292,2,FALSE)</f>
        <v>#N/A</v>
      </c>
      <c r="D803" s="84">
        <v>5500.0036363636364</v>
      </c>
      <c r="E803" s="84">
        <v>225.81818181818181</v>
      </c>
      <c r="F803" s="84">
        <v>0</v>
      </c>
      <c r="G803" s="84">
        <v>81.818181818181813</v>
      </c>
      <c r="H803" s="84">
        <v>0</v>
      </c>
      <c r="I803" s="84"/>
      <c r="J803" s="84">
        <v>0</v>
      </c>
      <c r="K803" s="84">
        <v>0</v>
      </c>
      <c r="L803" s="84">
        <v>0</v>
      </c>
      <c r="M803" s="84">
        <v>0</v>
      </c>
      <c r="N803" s="84">
        <v>0</v>
      </c>
    </row>
    <row r="804" spans="1:14" x14ac:dyDescent="0.25">
      <c r="A804" s="74" t="s">
        <v>2359</v>
      </c>
      <c r="B804" s="74">
        <v>5283</v>
      </c>
      <c r="C804" t="e">
        <f>VLOOKUP(B804,'Waste Lookups'!$B$1:$C$292,2,FALSE)</f>
        <v>#N/A</v>
      </c>
      <c r="D804" s="84">
        <v>5500.0036363636364</v>
      </c>
      <c r="E804" s="84">
        <v>0</v>
      </c>
      <c r="F804" s="84">
        <v>0</v>
      </c>
      <c r="G804" s="84">
        <v>0</v>
      </c>
      <c r="H804" s="84">
        <v>0</v>
      </c>
      <c r="I804" s="84"/>
      <c r="J804" s="84">
        <v>542.58000000000004</v>
      </c>
      <c r="K804" s="84">
        <v>0</v>
      </c>
      <c r="L804" s="84">
        <v>0</v>
      </c>
      <c r="M804" s="84">
        <v>0</v>
      </c>
      <c r="N804" s="84">
        <v>0</v>
      </c>
    </row>
    <row r="805" spans="1:14" x14ac:dyDescent="0.25">
      <c r="A805" s="74" t="s">
        <v>2361</v>
      </c>
      <c r="B805" s="74">
        <v>5284</v>
      </c>
      <c r="C805" t="e">
        <f>VLOOKUP(B805,'Waste Lookups'!$B$1:$C$292,2,FALSE)</f>
        <v>#N/A</v>
      </c>
      <c r="D805" s="84">
        <v>5500.0036363636364</v>
      </c>
      <c r="E805" s="84">
        <v>541.11272727272728</v>
      </c>
      <c r="F805" s="84">
        <v>0</v>
      </c>
      <c r="G805" s="84">
        <v>0</v>
      </c>
      <c r="H805" s="84">
        <v>296.90181818181821</v>
      </c>
      <c r="I805" s="84"/>
      <c r="J805" s="84">
        <v>1863.3052902742756</v>
      </c>
      <c r="K805" s="84">
        <v>183.31955286281058</v>
      </c>
      <c r="L805" s="84">
        <v>0</v>
      </c>
      <c r="M805" s="84">
        <v>0</v>
      </c>
      <c r="N805" s="84">
        <v>100.58515686291386</v>
      </c>
    </row>
    <row r="806" spans="1:14" x14ac:dyDescent="0.25">
      <c r="A806" s="74" t="s">
        <v>652</v>
      </c>
      <c r="B806" s="74">
        <v>5285</v>
      </c>
      <c r="C806" t="str">
        <f>VLOOKUP(B806,'Waste Lookups'!$B$1:$C$292,2,FALSE)</f>
        <v>Sandwell HQ</v>
      </c>
      <c r="D806" s="84">
        <v>6000</v>
      </c>
      <c r="E806" s="84">
        <v>0</v>
      </c>
      <c r="F806" s="84">
        <v>0</v>
      </c>
      <c r="G806" s="84">
        <v>0</v>
      </c>
      <c r="H806" s="84">
        <v>0</v>
      </c>
      <c r="I806" s="84"/>
      <c r="J806" s="84">
        <v>4449.43</v>
      </c>
      <c r="K806" s="84">
        <v>0</v>
      </c>
      <c r="L806" s="84">
        <v>0</v>
      </c>
      <c r="M806" s="84">
        <v>0</v>
      </c>
      <c r="N806" s="84">
        <v>0</v>
      </c>
    </row>
    <row r="807" spans="1:14" x14ac:dyDescent="0.25">
      <c r="A807" s="74" t="s">
        <v>2364</v>
      </c>
      <c r="B807" s="74">
        <v>5286</v>
      </c>
      <c r="C807" t="e">
        <f>VLOOKUP(B807,'Waste Lookups'!$B$1:$C$292,2,FALSE)</f>
        <v>#N/A</v>
      </c>
      <c r="D807" s="84">
        <v>34999.996363636368</v>
      </c>
      <c r="E807" s="84">
        <v>7153.5381818181813</v>
      </c>
      <c r="F807" s="84">
        <v>0</v>
      </c>
      <c r="G807" s="84">
        <v>0</v>
      </c>
      <c r="H807" s="84">
        <v>2309.2363636363639</v>
      </c>
      <c r="I807" s="84"/>
      <c r="J807" s="84">
        <v>43071.156202746781</v>
      </c>
      <c r="K807" s="84">
        <v>8803.1769269416145</v>
      </c>
      <c r="L807" s="84">
        <v>0</v>
      </c>
      <c r="M807" s="84">
        <v>0</v>
      </c>
      <c r="N807" s="84">
        <v>2841.7568703116035</v>
      </c>
    </row>
    <row r="808" spans="1:14" x14ac:dyDescent="0.25">
      <c r="A808" s="74" t="s">
        <v>2366</v>
      </c>
      <c r="B808" s="74">
        <v>5287</v>
      </c>
      <c r="C808" t="e">
        <f>VLOOKUP(B808,'Waste Lookups'!$B$1:$C$292,2,FALSE)</f>
        <v>#N/A</v>
      </c>
      <c r="D808" s="84">
        <v>19800</v>
      </c>
      <c r="E808" s="84">
        <v>705.13090909090909</v>
      </c>
      <c r="F808" s="84">
        <v>0</v>
      </c>
      <c r="G808" s="84">
        <v>0</v>
      </c>
      <c r="H808" s="84">
        <v>62.312727272727273</v>
      </c>
      <c r="I808" s="84"/>
      <c r="J808" s="84">
        <v>2721.2932724922548</v>
      </c>
      <c r="K808" s="84">
        <v>96.912525208860515</v>
      </c>
      <c r="L808" s="84">
        <v>0</v>
      </c>
      <c r="M808" s="84">
        <v>0</v>
      </c>
      <c r="N808" s="84">
        <v>8.5642022988847142</v>
      </c>
    </row>
    <row r="809" spans="1:14" x14ac:dyDescent="0.25">
      <c r="A809" s="74" t="s">
        <v>2368</v>
      </c>
      <c r="B809" s="74">
        <v>5288</v>
      </c>
      <c r="C809" t="e">
        <f>VLOOKUP(B809,'Waste Lookups'!$B$1:$C$292,2,FALSE)</f>
        <v>#N/A</v>
      </c>
      <c r="D809" s="84">
        <v>3523.0581818181818</v>
      </c>
      <c r="E809" s="84">
        <v>0</v>
      </c>
      <c r="F809" s="84">
        <v>0</v>
      </c>
      <c r="G809" s="84">
        <v>0</v>
      </c>
      <c r="H809" s="84">
        <v>0</v>
      </c>
      <c r="I809" s="84"/>
      <c r="J809" s="84">
        <v>0</v>
      </c>
      <c r="K809" s="84">
        <v>0</v>
      </c>
      <c r="L809" s="84">
        <v>0</v>
      </c>
      <c r="M809" s="84">
        <v>0</v>
      </c>
      <c r="N809" s="84">
        <v>0</v>
      </c>
    </row>
    <row r="810" spans="1:14" x14ac:dyDescent="0.25">
      <c r="A810" s="74" t="s">
        <v>2370</v>
      </c>
      <c r="B810" s="74">
        <v>5289</v>
      </c>
      <c r="C810" t="e">
        <f>VLOOKUP(B810,'Waste Lookups'!$B$1:$C$292,2,FALSE)</f>
        <v>#N/A</v>
      </c>
      <c r="D810" s="84">
        <v>14599.996363636365</v>
      </c>
      <c r="E810" s="84">
        <v>2860.6036363636363</v>
      </c>
      <c r="F810" s="84">
        <v>0</v>
      </c>
      <c r="G810" s="84">
        <v>0</v>
      </c>
      <c r="H810" s="84">
        <v>161.28</v>
      </c>
      <c r="I810" s="84"/>
      <c r="J810" s="84">
        <v>7481.2110379183559</v>
      </c>
      <c r="K810" s="84">
        <v>1465.8071801151336</v>
      </c>
      <c r="L810" s="84">
        <v>0</v>
      </c>
      <c r="M810" s="84">
        <v>0</v>
      </c>
      <c r="N810" s="84">
        <v>82.641781966509811</v>
      </c>
    </row>
    <row r="811" spans="1:14" x14ac:dyDescent="0.25">
      <c r="A811" s="74" t="s">
        <v>2372</v>
      </c>
      <c r="B811" s="74">
        <v>5291</v>
      </c>
      <c r="C811" t="e">
        <f>VLOOKUP(B811,'Waste Lookups'!$B$1:$C$292,2,FALSE)</f>
        <v>#N/A</v>
      </c>
      <c r="D811" s="84">
        <v>3383.1709090909089</v>
      </c>
      <c r="E811" s="84">
        <v>1943.7709090909088</v>
      </c>
      <c r="F811" s="84">
        <v>0</v>
      </c>
      <c r="G811" s="84">
        <v>0</v>
      </c>
      <c r="H811" s="84">
        <v>0</v>
      </c>
      <c r="I811" s="84"/>
      <c r="J811" s="84">
        <v>2053.8999551507973</v>
      </c>
      <c r="K811" s="84">
        <v>1180.0500448492021</v>
      </c>
      <c r="L811" s="84">
        <v>0</v>
      </c>
      <c r="M811" s="84">
        <v>0</v>
      </c>
      <c r="N811" s="84">
        <v>0</v>
      </c>
    </row>
    <row r="812" spans="1:14" x14ac:dyDescent="0.25">
      <c r="A812" s="74" t="s">
        <v>2374</v>
      </c>
      <c r="B812" s="74">
        <v>5292</v>
      </c>
      <c r="C812" t="e">
        <f>VLOOKUP(B812,'Waste Lookups'!$B$1:$C$292,2,FALSE)</f>
        <v>#N/A</v>
      </c>
      <c r="D812" s="84">
        <v>5899.9963636363636</v>
      </c>
      <c r="E812" s="84">
        <v>343.30909090909091</v>
      </c>
      <c r="F812" s="84">
        <v>0</v>
      </c>
      <c r="G812" s="84">
        <v>0</v>
      </c>
      <c r="H812" s="84">
        <v>0</v>
      </c>
      <c r="I812" s="84"/>
      <c r="J812" s="84">
        <v>1921.142525358071</v>
      </c>
      <c r="K812" s="84">
        <v>111.78747464192919</v>
      </c>
      <c r="L812" s="84">
        <v>0</v>
      </c>
      <c r="M812" s="84">
        <v>0</v>
      </c>
      <c r="N812" s="84">
        <v>0</v>
      </c>
    </row>
    <row r="813" spans="1:14" x14ac:dyDescent="0.25">
      <c r="A813" s="74" t="s">
        <v>2376</v>
      </c>
      <c r="B813" s="74">
        <v>5293</v>
      </c>
      <c r="C813" t="e">
        <f>VLOOKUP(B813,'Waste Lookups'!$B$1:$C$292,2,FALSE)</f>
        <v>#N/A</v>
      </c>
      <c r="D813" s="84">
        <v>7000.0036363636373</v>
      </c>
      <c r="E813" s="84">
        <v>129.47999999999999</v>
      </c>
      <c r="F813" s="84">
        <v>0</v>
      </c>
      <c r="G813" s="84">
        <v>0</v>
      </c>
      <c r="H813" s="84">
        <v>0</v>
      </c>
      <c r="I813" s="84"/>
      <c r="J813" s="84">
        <v>2597.4938108688734</v>
      </c>
      <c r="K813" s="84">
        <v>48.046189131126667</v>
      </c>
      <c r="L813" s="84">
        <v>0</v>
      </c>
      <c r="M813" s="84">
        <v>0</v>
      </c>
      <c r="N813" s="84">
        <v>0</v>
      </c>
    </row>
    <row r="814" spans="1:14" x14ac:dyDescent="0.25">
      <c r="A814" s="74" t="s">
        <v>2378</v>
      </c>
      <c r="B814" s="74">
        <v>5294</v>
      </c>
      <c r="C814" t="e">
        <f>VLOOKUP(B814,'Waste Lookups'!$B$1:$C$292,2,FALSE)</f>
        <v>#N/A</v>
      </c>
      <c r="D814" s="84">
        <v>95.301818181818177</v>
      </c>
      <c r="E814" s="84">
        <v>0</v>
      </c>
      <c r="F814" s="84">
        <v>0</v>
      </c>
      <c r="G814" s="84">
        <v>0</v>
      </c>
      <c r="H814" s="84">
        <v>0</v>
      </c>
      <c r="I814" s="84"/>
      <c r="J814" s="84">
        <v>0</v>
      </c>
      <c r="K814" s="84">
        <v>0</v>
      </c>
      <c r="L814" s="84">
        <v>0</v>
      </c>
      <c r="M814" s="84">
        <v>0</v>
      </c>
      <c r="N814" s="84">
        <v>0</v>
      </c>
    </row>
    <row r="815" spans="1:14" x14ac:dyDescent="0.25">
      <c r="A815" s="74" t="s">
        <v>2380</v>
      </c>
      <c r="B815" s="74">
        <v>5295</v>
      </c>
      <c r="C815" t="e">
        <f>VLOOKUP(B815,'Waste Lookups'!$B$1:$C$292,2,FALSE)</f>
        <v>#N/A</v>
      </c>
      <c r="D815" s="84">
        <v>3553.7672727272725</v>
      </c>
      <c r="E815" s="84">
        <v>590.21454545454537</v>
      </c>
      <c r="F815" s="84">
        <v>0</v>
      </c>
      <c r="G815" s="84">
        <v>0</v>
      </c>
      <c r="H815" s="84">
        <v>0</v>
      </c>
      <c r="I815" s="84"/>
      <c r="J815" s="84">
        <v>1332.4456053597987</v>
      </c>
      <c r="K815" s="84">
        <v>221.29439464020112</v>
      </c>
      <c r="L815" s="84">
        <v>0</v>
      </c>
      <c r="M815" s="84">
        <v>0</v>
      </c>
      <c r="N815" s="84">
        <v>0</v>
      </c>
    </row>
    <row r="816" spans="1:14" x14ac:dyDescent="0.25">
      <c r="A816" s="74" t="s">
        <v>2382</v>
      </c>
      <c r="B816" s="74">
        <v>5296</v>
      </c>
      <c r="C816" t="e">
        <f>VLOOKUP(B816,'Waste Lookups'!$B$1:$C$292,2,FALSE)</f>
        <v>#N/A</v>
      </c>
      <c r="D816" s="84">
        <v>12519</v>
      </c>
      <c r="E816" s="84">
        <v>1373.3345454545456</v>
      </c>
      <c r="F816" s="84">
        <v>0</v>
      </c>
      <c r="G816" s="84">
        <v>0</v>
      </c>
      <c r="H816" s="84">
        <v>439.85454545454547</v>
      </c>
      <c r="I816" s="84"/>
      <c r="J816" s="84">
        <v>5169.7494513938364</v>
      </c>
      <c r="K816" s="84">
        <v>567.12161617891536</v>
      </c>
      <c r="L816" s="84">
        <v>0</v>
      </c>
      <c r="M816" s="84">
        <v>0</v>
      </c>
      <c r="N816" s="84">
        <v>181.63893242724833</v>
      </c>
    </row>
    <row r="817" spans="1:14" x14ac:dyDescent="0.25">
      <c r="A817" s="74" t="s">
        <v>2384</v>
      </c>
      <c r="B817" s="74">
        <v>5298</v>
      </c>
      <c r="C817" t="e">
        <f>VLOOKUP(B817,'Waste Lookups'!$B$1:$C$292,2,FALSE)</f>
        <v>#N/A</v>
      </c>
      <c r="D817" s="84">
        <v>16743.163636363635</v>
      </c>
      <c r="E817" s="84">
        <v>271.29818181818183</v>
      </c>
      <c r="F817" s="84">
        <v>0</v>
      </c>
      <c r="G817" s="84">
        <v>0</v>
      </c>
      <c r="H817" s="84">
        <v>0</v>
      </c>
      <c r="I817" s="84"/>
      <c r="J817" s="84">
        <v>1083.798647268409</v>
      </c>
      <c r="K817" s="84">
        <v>17.561352731590688</v>
      </c>
      <c r="L817" s="84">
        <v>0</v>
      </c>
      <c r="M817" s="84">
        <v>0</v>
      </c>
      <c r="N817" s="84">
        <v>0</v>
      </c>
    </row>
    <row r="818" spans="1:14" x14ac:dyDescent="0.25">
      <c r="A818" s="74" t="s">
        <v>2386</v>
      </c>
      <c r="B818" s="74">
        <v>5299</v>
      </c>
      <c r="C818" t="e">
        <f>VLOOKUP(B818,'Waste Lookups'!$B$1:$C$292,2,FALSE)</f>
        <v>#N/A</v>
      </c>
      <c r="D818" s="84">
        <v>3045.9927272727273</v>
      </c>
      <c r="E818" s="84">
        <v>135.65454545454546</v>
      </c>
      <c r="F818" s="84">
        <v>0</v>
      </c>
      <c r="G818" s="84">
        <v>0</v>
      </c>
      <c r="H818" s="84">
        <v>0</v>
      </c>
      <c r="I818" s="84"/>
      <c r="J818" s="84">
        <v>696.86483639692653</v>
      </c>
      <c r="K818" s="84">
        <v>31.035163603073538</v>
      </c>
      <c r="L818" s="84">
        <v>0</v>
      </c>
      <c r="M818" s="84">
        <v>0</v>
      </c>
      <c r="N818" s="84">
        <v>0</v>
      </c>
    </row>
    <row r="819" spans="1:14" x14ac:dyDescent="0.25">
      <c r="A819" s="74" t="s">
        <v>2388</v>
      </c>
      <c r="B819" s="74">
        <v>5305</v>
      </c>
      <c r="C819" t="e">
        <f>VLOOKUP(B819,'Waste Lookups'!$B$1:$C$292,2,FALSE)</f>
        <v>#N/A</v>
      </c>
      <c r="D819" s="84">
        <v>0</v>
      </c>
      <c r="E819" s="84">
        <v>68.072727272727278</v>
      </c>
      <c r="F819" s="84">
        <v>0</v>
      </c>
      <c r="G819" s="84">
        <v>0</v>
      </c>
      <c r="H819" s="84">
        <v>0</v>
      </c>
      <c r="I819" s="84"/>
      <c r="J819" s="84">
        <v>0</v>
      </c>
      <c r="K819" s="84">
        <v>0</v>
      </c>
      <c r="L819" s="84">
        <v>0</v>
      </c>
      <c r="M819" s="84">
        <v>0</v>
      </c>
      <c r="N819" s="84">
        <v>0</v>
      </c>
    </row>
    <row r="820" spans="1:14" x14ac:dyDescent="0.25">
      <c r="A820" s="74" t="s">
        <v>2390</v>
      </c>
      <c r="B820" s="74">
        <v>5309</v>
      </c>
      <c r="C820" t="e">
        <f>VLOOKUP(B820,'Waste Lookups'!$B$1:$C$292,2,FALSE)</f>
        <v>#N/A</v>
      </c>
      <c r="D820" s="84">
        <v>4521.5018181818186</v>
      </c>
      <c r="E820" s="84">
        <v>120.64363636363638</v>
      </c>
      <c r="F820" s="84">
        <v>0</v>
      </c>
      <c r="G820" s="84">
        <v>0</v>
      </c>
      <c r="H820" s="84">
        <v>0</v>
      </c>
      <c r="I820" s="84"/>
      <c r="J820" s="84">
        <v>0</v>
      </c>
      <c r="K820" s="84">
        <v>0</v>
      </c>
      <c r="L820" s="84">
        <v>0</v>
      </c>
      <c r="M820" s="84">
        <v>0</v>
      </c>
      <c r="N820" s="84">
        <v>0</v>
      </c>
    </row>
    <row r="821" spans="1:14" x14ac:dyDescent="0.25">
      <c r="A821" s="74" t="s">
        <v>2392</v>
      </c>
      <c r="B821" s="74">
        <v>5315</v>
      </c>
      <c r="C821" t="e">
        <f>VLOOKUP(B821,'Waste Lookups'!$B$1:$C$292,2,FALSE)</f>
        <v>#N/A</v>
      </c>
      <c r="D821" s="84">
        <v>4776.0654545454554</v>
      </c>
      <c r="E821" s="84">
        <v>120.64363636363638</v>
      </c>
      <c r="F821" s="84">
        <v>0</v>
      </c>
      <c r="G821" s="84">
        <v>0</v>
      </c>
      <c r="H821" s="84">
        <v>0</v>
      </c>
      <c r="I821" s="84"/>
      <c r="J821" s="84">
        <v>0</v>
      </c>
      <c r="K821" s="84">
        <v>0</v>
      </c>
      <c r="L821" s="84">
        <v>0</v>
      </c>
      <c r="M821" s="84">
        <v>0</v>
      </c>
      <c r="N821" s="84">
        <v>0</v>
      </c>
    </row>
    <row r="822" spans="1:14" x14ac:dyDescent="0.25">
      <c r="A822" s="74" t="s">
        <v>2394</v>
      </c>
      <c r="B822" s="74">
        <v>5316</v>
      </c>
      <c r="C822" t="e">
        <f>VLOOKUP(B822,'Waste Lookups'!$B$1:$C$292,2,FALSE)</f>
        <v>#N/A</v>
      </c>
      <c r="D822" s="84">
        <v>6566.312727272727</v>
      </c>
      <c r="E822" s="84">
        <v>268.10181818181815</v>
      </c>
      <c r="F822" s="84">
        <v>0</v>
      </c>
      <c r="G822" s="84">
        <v>0</v>
      </c>
      <c r="H822" s="84">
        <v>0</v>
      </c>
      <c r="I822" s="84"/>
      <c r="J822" s="84">
        <v>121.05724610846497</v>
      </c>
      <c r="K822" s="84">
        <v>4.9427538915350322</v>
      </c>
      <c r="L822" s="84">
        <v>0</v>
      </c>
      <c r="M822" s="84">
        <v>0</v>
      </c>
      <c r="N822" s="84">
        <v>0</v>
      </c>
    </row>
    <row r="823" spans="1:14" x14ac:dyDescent="0.25">
      <c r="A823" s="74" t="s">
        <v>653</v>
      </c>
      <c r="B823" s="74">
        <v>5317</v>
      </c>
      <c r="C823" t="str">
        <f>VLOOKUP(B823,'Waste Lookups'!$B$1:$C$292,2,FALSE)</f>
        <v>Shirley Road Health Centre</v>
      </c>
      <c r="D823" s="84">
        <v>6860.1163636363635</v>
      </c>
      <c r="E823" s="84">
        <v>107.23636363636362</v>
      </c>
      <c r="F823" s="84">
        <v>0</v>
      </c>
      <c r="G823" s="84">
        <v>0</v>
      </c>
      <c r="H823" s="84">
        <v>0</v>
      </c>
      <c r="I823" s="84"/>
      <c r="J823" s="84">
        <v>0</v>
      </c>
      <c r="K823" s="84">
        <v>0</v>
      </c>
      <c r="L823" s="84">
        <v>0</v>
      </c>
      <c r="M823" s="84">
        <v>0</v>
      </c>
      <c r="N823" s="84">
        <v>0</v>
      </c>
    </row>
    <row r="824" spans="1:14" x14ac:dyDescent="0.25">
      <c r="A824" s="74" t="s">
        <v>2397</v>
      </c>
      <c r="B824" s="74">
        <v>5318</v>
      </c>
      <c r="C824" t="e">
        <f>VLOOKUP(B824,'Waste Lookups'!$B$1:$C$292,2,FALSE)</f>
        <v>#N/A</v>
      </c>
      <c r="D824" s="84">
        <v>3799.9963636363636</v>
      </c>
      <c r="E824" s="84">
        <v>0</v>
      </c>
      <c r="F824" s="84">
        <v>0</v>
      </c>
      <c r="G824" s="84">
        <v>0</v>
      </c>
      <c r="H824" s="84">
        <v>0</v>
      </c>
      <c r="I824" s="84"/>
      <c r="J824" s="84">
        <v>100</v>
      </c>
      <c r="K824" s="84">
        <v>0</v>
      </c>
      <c r="L824" s="84">
        <v>0</v>
      </c>
      <c r="M824" s="84">
        <v>0</v>
      </c>
      <c r="N824" s="84">
        <v>0</v>
      </c>
    </row>
    <row r="825" spans="1:14" x14ac:dyDescent="0.25">
      <c r="A825" s="74" t="s">
        <v>2399</v>
      </c>
      <c r="B825" s="74">
        <v>5323</v>
      </c>
      <c r="C825" t="e">
        <f>VLOOKUP(B825,'Waste Lookups'!$B$1:$C$292,2,FALSE)</f>
        <v>#N/A</v>
      </c>
      <c r="D825" s="84">
        <v>799.99636363636364</v>
      </c>
      <c r="E825" s="84">
        <v>0</v>
      </c>
      <c r="F825" s="84">
        <v>0</v>
      </c>
      <c r="G825" s="84">
        <v>0</v>
      </c>
      <c r="H825" s="84">
        <v>0</v>
      </c>
      <c r="I825" s="84"/>
      <c r="J825" s="84">
        <v>0</v>
      </c>
      <c r="K825" s="84">
        <v>0</v>
      </c>
      <c r="L825" s="84">
        <v>0</v>
      </c>
      <c r="M825" s="84">
        <v>0</v>
      </c>
      <c r="N825" s="84">
        <v>0</v>
      </c>
    </row>
    <row r="826" spans="1:14" x14ac:dyDescent="0.25">
      <c r="A826" s="74" t="s">
        <v>2401</v>
      </c>
      <c r="B826" s="74">
        <v>5329</v>
      </c>
      <c r="C826" t="e">
        <f>VLOOKUP(B826,'Waste Lookups'!$B$1:$C$292,2,FALSE)</f>
        <v>#N/A</v>
      </c>
      <c r="D826" s="84">
        <v>3266.7818181818184</v>
      </c>
      <c r="E826" s="84">
        <v>678.75272727272738</v>
      </c>
      <c r="F826" s="84">
        <v>0</v>
      </c>
      <c r="G826" s="84">
        <v>0</v>
      </c>
      <c r="H826" s="84">
        <v>0</v>
      </c>
      <c r="I826" s="84"/>
      <c r="J826" s="84">
        <v>2096.708276652455</v>
      </c>
      <c r="K826" s="84">
        <v>435.64172334754505</v>
      </c>
      <c r="L826" s="84">
        <v>0</v>
      </c>
      <c r="M826" s="84">
        <v>0</v>
      </c>
      <c r="N826" s="84">
        <v>0</v>
      </c>
    </row>
    <row r="827" spans="1:14" x14ac:dyDescent="0.25">
      <c r="A827" s="74" t="s">
        <v>2403</v>
      </c>
      <c r="B827" s="74">
        <v>5332</v>
      </c>
      <c r="C827" t="e">
        <f>VLOOKUP(B827,'Waste Lookups'!$B$1:$C$292,2,FALSE)</f>
        <v>#N/A</v>
      </c>
      <c r="D827" s="84">
        <v>9270.3054545454561</v>
      </c>
      <c r="E827" s="84">
        <v>269.62909090909091</v>
      </c>
      <c r="F827" s="84">
        <v>0</v>
      </c>
      <c r="G827" s="84">
        <v>0</v>
      </c>
      <c r="H827" s="84">
        <v>0</v>
      </c>
      <c r="I827" s="84"/>
      <c r="J827" s="84">
        <v>0</v>
      </c>
      <c r="K827" s="84">
        <v>0</v>
      </c>
      <c r="L827" s="84">
        <v>0</v>
      </c>
      <c r="M827" s="84">
        <v>0</v>
      </c>
      <c r="N827" s="84">
        <v>0</v>
      </c>
    </row>
    <row r="828" spans="1:14" x14ac:dyDescent="0.25">
      <c r="A828" s="74" t="s">
        <v>2405</v>
      </c>
      <c r="B828" s="74">
        <v>5334</v>
      </c>
      <c r="C828" t="e">
        <f>VLOOKUP(B828,'Waste Lookups'!$B$1:$C$292,2,FALSE)</f>
        <v>#N/A</v>
      </c>
      <c r="D828" s="84">
        <v>1200</v>
      </c>
      <c r="E828" s="84">
        <v>0</v>
      </c>
      <c r="F828" s="84">
        <v>0</v>
      </c>
      <c r="G828" s="84">
        <v>0</v>
      </c>
      <c r="H828" s="84">
        <v>0</v>
      </c>
      <c r="I828" s="84"/>
      <c r="J828" s="84">
        <v>0</v>
      </c>
      <c r="K828" s="84">
        <v>0</v>
      </c>
      <c r="L828" s="84">
        <v>0</v>
      </c>
      <c r="M828" s="84">
        <v>0</v>
      </c>
      <c r="N828" s="84">
        <v>0</v>
      </c>
    </row>
    <row r="829" spans="1:14" x14ac:dyDescent="0.25">
      <c r="A829" s="74" t="s">
        <v>2407</v>
      </c>
      <c r="B829" s="74">
        <v>5335</v>
      </c>
      <c r="C829" t="e">
        <f>VLOOKUP(B829,'Waste Lookups'!$B$1:$C$292,2,FALSE)</f>
        <v>#N/A</v>
      </c>
      <c r="D829" s="84">
        <v>1200</v>
      </c>
      <c r="E829" s="84">
        <v>0</v>
      </c>
      <c r="F829" s="84">
        <v>0</v>
      </c>
      <c r="G829" s="84">
        <v>0</v>
      </c>
      <c r="H829" s="84">
        <v>0</v>
      </c>
      <c r="I829" s="84"/>
      <c r="J829" s="84">
        <v>0</v>
      </c>
      <c r="K829" s="84">
        <v>0</v>
      </c>
      <c r="L829" s="84">
        <v>0</v>
      </c>
      <c r="M829" s="84">
        <v>0</v>
      </c>
      <c r="N829" s="84">
        <v>0</v>
      </c>
    </row>
    <row r="830" spans="1:14" x14ac:dyDescent="0.25">
      <c r="A830" s="74" t="s">
        <v>650</v>
      </c>
      <c r="B830" s="74">
        <v>5336</v>
      </c>
      <c r="C830" t="str">
        <f>VLOOKUP(B830,'Waste Lookups'!$B$1:$C$292,2,FALSE)</f>
        <v>Aston Pride Community Health Centre</v>
      </c>
      <c r="D830" s="84">
        <v>6776.6072727272731</v>
      </c>
      <c r="E830" s="84">
        <v>229.41818181818184</v>
      </c>
      <c r="F830" s="84">
        <v>0</v>
      </c>
      <c r="G830" s="84">
        <v>0</v>
      </c>
      <c r="H830" s="84">
        <v>0</v>
      </c>
      <c r="I830" s="84"/>
      <c r="J830" s="84">
        <v>0</v>
      </c>
      <c r="K830" s="84">
        <v>0</v>
      </c>
      <c r="L830" s="84">
        <v>0</v>
      </c>
      <c r="M830" s="84">
        <v>0</v>
      </c>
      <c r="N830" s="84">
        <v>0</v>
      </c>
    </row>
    <row r="831" spans="1:14" x14ac:dyDescent="0.25">
      <c r="A831" s="74" t="s">
        <v>2410</v>
      </c>
      <c r="B831" s="74">
        <v>5337</v>
      </c>
      <c r="C831" t="e">
        <f>VLOOKUP(B831,'Waste Lookups'!$B$1:$C$292,2,FALSE)</f>
        <v>#N/A</v>
      </c>
      <c r="D831" s="84">
        <v>8723.5418181818186</v>
      </c>
      <c r="E831" s="84">
        <v>312.34909090909088</v>
      </c>
      <c r="F831" s="84">
        <v>0</v>
      </c>
      <c r="G831" s="84">
        <v>0</v>
      </c>
      <c r="H831" s="84">
        <v>0</v>
      </c>
      <c r="I831" s="84"/>
      <c r="J831" s="84">
        <v>68.545700177474075</v>
      </c>
      <c r="K831" s="84">
        <v>2.4542998225259263</v>
      </c>
      <c r="L831" s="84">
        <v>0</v>
      </c>
      <c r="M831" s="84">
        <v>0</v>
      </c>
      <c r="N831" s="84">
        <v>0</v>
      </c>
    </row>
    <row r="832" spans="1:14" x14ac:dyDescent="0.25">
      <c r="A832" s="74" t="s">
        <v>651</v>
      </c>
      <c r="B832" s="74">
        <v>5338</v>
      </c>
      <c r="C832" t="str">
        <f>VLOOKUP(B832,'Waste Lookups'!$B$1:$C$292,2,FALSE)</f>
        <v>Bartholomew House</v>
      </c>
      <c r="D832" s="84">
        <v>9514.9418181818182</v>
      </c>
      <c r="E832" s="84">
        <v>1455.9272727272726</v>
      </c>
      <c r="F832" s="84">
        <v>0</v>
      </c>
      <c r="G832" s="84">
        <v>0</v>
      </c>
      <c r="H832" s="84">
        <v>0</v>
      </c>
      <c r="I832" s="84"/>
      <c r="J832" s="84">
        <v>0</v>
      </c>
      <c r="K832" s="84">
        <v>0</v>
      </c>
      <c r="L832" s="84">
        <v>0</v>
      </c>
      <c r="M832" s="84">
        <v>0</v>
      </c>
      <c r="N832" s="84">
        <v>0</v>
      </c>
    </row>
    <row r="833" spans="1:14" x14ac:dyDescent="0.25">
      <c r="A833" s="74" t="s">
        <v>2413</v>
      </c>
      <c r="B833" s="74">
        <v>5340</v>
      </c>
      <c r="C833" t="e">
        <f>VLOOKUP(B833,'Waste Lookups'!$B$1:$C$292,2,FALSE)</f>
        <v>#N/A</v>
      </c>
      <c r="D833" s="84">
        <v>5190.1418181818181</v>
      </c>
      <c r="E833" s="84">
        <v>175.8</v>
      </c>
      <c r="F833" s="84">
        <v>0</v>
      </c>
      <c r="G833" s="84">
        <v>0</v>
      </c>
      <c r="H833" s="84">
        <v>0</v>
      </c>
      <c r="I833" s="84"/>
      <c r="J833" s="84">
        <v>0</v>
      </c>
      <c r="K833" s="84">
        <v>0</v>
      </c>
      <c r="L833" s="84">
        <v>0</v>
      </c>
      <c r="M833" s="84">
        <v>0</v>
      </c>
      <c r="N833" s="84">
        <v>0</v>
      </c>
    </row>
    <row r="834" spans="1:14" x14ac:dyDescent="0.25">
      <c r="A834" s="74" t="s">
        <v>2415</v>
      </c>
      <c r="B834" s="74">
        <v>5341</v>
      </c>
      <c r="C834" t="e">
        <f>VLOOKUP(B834,'Waste Lookups'!$B$1:$C$292,2,FALSE)</f>
        <v>#N/A</v>
      </c>
      <c r="D834" s="84">
        <v>7927.9745454545464</v>
      </c>
      <c r="E834" s="84">
        <v>0</v>
      </c>
      <c r="F834" s="84">
        <v>0</v>
      </c>
      <c r="G834" s="84">
        <v>0</v>
      </c>
      <c r="H834" s="84">
        <v>0</v>
      </c>
      <c r="I834" s="84"/>
      <c r="J834" s="84">
        <v>171.4</v>
      </c>
      <c r="K834" s="84">
        <v>0</v>
      </c>
      <c r="L834" s="84">
        <v>0</v>
      </c>
      <c r="M834" s="84">
        <v>0</v>
      </c>
      <c r="N834" s="84">
        <v>0</v>
      </c>
    </row>
    <row r="835" spans="1:14" x14ac:dyDescent="0.25">
      <c r="A835" s="74" t="s">
        <v>2417</v>
      </c>
      <c r="B835" s="74">
        <v>5343</v>
      </c>
      <c r="C835" t="e">
        <f>VLOOKUP(B835,'Waste Lookups'!$B$1:$C$292,2,FALSE)</f>
        <v>#N/A</v>
      </c>
      <c r="D835" s="84">
        <v>2976.2290909090912</v>
      </c>
      <c r="E835" s="84">
        <v>1528.0581818181818</v>
      </c>
      <c r="F835" s="84">
        <v>0</v>
      </c>
      <c r="G835" s="84">
        <v>0</v>
      </c>
      <c r="H835" s="84">
        <v>89.541818181818186</v>
      </c>
      <c r="I835" s="84"/>
      <c r="J835" s="84">
        <v>664.61655194359537</v>
      </c>
      <c r="K835" s="84">
        <v>341.22802007119418</v>
      </c>
      <c r="L835" s="84">
        <v>0</v>
      </c>
      <c r="M835" s="84">
        <v>0</v>
      </c>
      <c r="N835" s="84">
        <v>19.995427985210195</v>
      </c>
    </row>
    <row r="836" spans="1:14" x14ac:dyDescent="0.25">
      <c r="A836" s="74" t="s">
        <v>2419</v>
      </c>
      <c r="B836" s="74">
        <v>5345</v>
      </c>
      <c r="C836" t="e">
        <f>VLOOKUP(B836,'Waste Lookups'!$B$1:$C$292,2,FALSE)</f>
        <v>#N/A</v>
      </c>
      <c r="D836" s="84">
        <v>727.26545454545453</v>
      </c>
      <c r="E836" s="84">
        <v>0</v>
      </c>
      <c r="F836" s="84">
        <v>0</v>
      </c>
      <c r="G836" s="84">
        <v>0</v>
      </c>
      <c r="H836" s="84">
        <v>0</v>
      </c>
      <c r="I836" s="84"/>
      <c r="J836" s="84">
        <v>0</v>
      </c>
      <c r="K836" s="84">
        <v>0</v>
      </c>
      <c r="L836" s="84">
        <v>0</v>
      </c>
      <c r="M836" s="84">
        <v>0</v>
      </c>
      <c r="N836" s="84">
        <v>0</v>
      </c>
    </row>
    <row r="837" spans="1:14" x14ac:dyDescent="0.25">
      <c r="A837" s="74" t="s">
        <v>2421</v>
      </c>
      <c r="B837" s="74">
        <v>5347</v>
      </c>
      <c r="C837" t="e">
        <f>VLOOKUP(B837,'Waste Lookups'!$B$1:$C$292,2,FALSE)</f>
        <v>#N/A</v>
      </c>
      <c r="D837" s="84">
        <v>727.26545454545453</v>
      </c>
      <c r="E837" s="84">
        <v>0</v>
      </c>
      <c r="F837" s="84">
        <v>0</v>
      </c>
      <c r="G837" s="84">
        <v>0</v>
      </c>
      <c r="H837" s="84">
        <v>0</v>
      </c>
      <c r="I837" s="84"/>
      <c r="J837" s="84">
        <v>0</v>
      </c>
      <c r="K837" s="84">
        <v>0</v>
      </c>
      <c r="L837" s="84">
        <v>0</v>
      </c>
      <c r="M837" s="84">
        <v>0</v>
      </c>
      <c r="N837" s="84">
        <v>0</v>
      </c>
    </row>
    <row r="838" spans="1:14" x14ac:dyDescent="0.25">
      <c r="A838" s="74" t="s">
        <v>2423</v>
      </c>
      <c r="B838" s="74">
        <v>5349</v>
      </c>
      <c r="C838" t="e">
        <f>VLOOKUP(B838,'Waste Lookups'!$B$1:$C$292,2,FALSE)</f>
        <v>#N/A</v>
      </c>
      <c r="D838" s="84">
        <v>3278.1272727272726</v>
      </c>
      <c r="E838" s="84">
        <v>90.785454545454542</v>
      </c>
      <c r="F838" s="84">
        <v>0</v>
      </c>
      <c r="G838" s="84">
        <v>0</v>
      </c>
      <c r="H838" s="84">
        <v>0</v>
      </c>
      <c r="I838" s="84"/>
      <c r="J838" s="84">
        <v>0</v>
      </c>
      <c r="K838" s="84">
        <v>0</v>
      </c>
      <c r="L838" s="84">
        <v>0</v>
      </c>
      <c r="M838" s="84">
        <v>0</v>
      </c>
      <c r="N838" s="84">
        <v>0</v>
      </c>
    </row>
    <row r="839" spans="1:14" x14ac:dyDescent="0.25">
      <c r="A839" s="74" t="s">
        <v>2425</v>
      </c>
      <c r="B839" s="74">
        <v>5350</v>
      </c>
      <c r="C839" t="e">
        <f>VLOOKUP(B839,'Waste Lookups'!$B$1:$C$292,2,FALSE)</f>
        <v>#N/A</v>
      </c>
      <c r="D839" s="84">
        <v>2139.5018181818182</v>
      </c>
      <c r="E839" s="84">
        <v>147.96</v>
      </c>
      <c r="F839" s="84">
        <v>0</v>
      </c>
      <c r="G839" s="84">
        <v>0</v>
      </c>
      <c r="H839" s="84">
        <v>0</v>
      </c>
      <c r="I839" s="84"/>
      <c r="J839" s="84">
        <v>0</v>
      </c>
      <c r="K839" s="84">
        <v>0</v>
      </c>
      <c r="L839" s="84">
        <v>0</v>
      </c>
      <c r="M839" s="84">
        <v>0</v>
      </c>
      <c r="N839" s="84">
        <v>0</v>
      </c>
    </row>
    <row r="840" spans="1:14" x14ac:dyDescent="0.25">
      <c r="A840" s="74" t="s">
        <v>2427</v>
      </c>
      <c r="B840" s="74">
        <v>5351</v>
      </c>
      <c r="C840" t="e">
        <f>VLOOKUP(B840,'Waste Lookups'!$B$1:$C$292,2,FALSE)</f>
        <v>#N/A</v>
      </c>
      <c r="D840" s="84">
        <v>2608.0145454545454</v>
      </c>
      <c r="E840" s="84">
        <v>0</v>
      </c>
      <c r="F840" s="84">
        <v>0</v>
      </c>
      <c r="G840" s="84">
        <v>0</v>
      </c>
      <c r="H840" s="84">
        <v>0</v>
      </c>
      <c r="I840" s="84"/>
      <c r="J840" s="84">
        <v>2500.71</v>
      </c>
      <c r="K840" s="84">
        <v>0</v>
      </c>
      <c r="L840" s="84">
        <v>0</v>
      </c>
      <c r="M840" s="84">
        <v>0</v>
      </c>
      <c r="N840" s="84">
        <v>0</v>
      </c>
    </row>
    <row r="841" spans="1:14" x14ac:dyDescent="0.25">
      <c r="A841" s="74" t="s">
        <v>2429</v>
      </c>
      <c r="B841" s="74">
        <v>5354</v>
      </c>
      <c r="C841" t="e">
        <f>VLOOKUP(B841,'Waste Lookups'!$B$1:$C$292,2,FALSE)</f>
        <v>#N/A</v>
      </c>
      <c r="D841" s="84">
        <v>14689.276363636363</v>
      </c>
      <c r="E841" s="84">
        <v>0</v>
      </c>
      <c r="F841" s="84">
        <v>0</v>
      </c>
      <c r="G841" s="84">
        <v>0</v>
      </c>
      <c r="H841" s="84">
        <v>0</v>
      </c>
      <c r="I841" s="84"/>
      <c r="J841" s="84">
        <v>0</v>
      </c>
      <c r="K841" s="84">
        <v>0</v>
      </c>
      <c r="L841" s="84">
        <v>0</v>
      </c>
      <c r="M841" s="84">
        <v>0</v>
      </c>
      <c r="N841" s="84">
        <v>0</v>
      </c>
    </row>
    <row r="842" spans="1:14" x14ac:dyDescent="0.25">
      <c r="A842" s="74" t="s">
        <v>2431</v>
      </c>
      <c r="B842" s="74">
        <v>5355</v>
      </c>
      <c r="C842" t="e">
        <f>VLOOKUP(B842,'Waste Lookups'!$B$1:$C$292,2,FALSE)</f>
        <v>#N/A</v>
      </c>
      <c r="D842" s="84">
        <v>48.305454545454545</v>
      </c>
      <c r="E842" s="84">
        <v>0</v>
      </c>
      <c r="F842" s="84">
        <v>0</v>
      </c>
      <c r="G842" s="84">
        <v>0</v>
      </c>
      <c r="H842" s="84">
        <v>0</v>
      </c>
      <c r="I842" s="84"/>
      <c r="J842" s="84">
        <v>0</v>
      </c>
      <c r="K842" s="84">
        <v>0</v>
      </c>
      <c r="L842" s="84">
        <v>0</v>
      </c>
      <c r="M842" s="84">
        <v>0</v>
      </c>
      <c r="N842" s="84">
        <v>0</v>
      </c>
    </row>
    <row r="843" spans="1:14" x14ac:dyDescent="0.25">
      <c r="A843" s="74" t="s">
        <v>2433</v>
      </c>
      <c r="B843" s="74">
        <v>5356</v>
      </c>
      <c r="C843" t="e">
        <f>VLOOKUP(B843,'Waste Lookups'!$B$1:$C$292,2,FALSE)</f>
        <v>#N/A</v>
      </c>
      <c r="D843" s="84">
        <v>144.91636363636363</v>
      </c>
      <c r="E843" s="84">
        <v>0</v>
      </c>
      <c r="F843" s="84">
        <v>0</v>
      </c>
      <c r="G843" s="84">
        <v>0</v>
      </c>
      <c r="H843" s="84">
        <v>0</v>
      </c>
      <c r="I843" s="84"/>
      <c r="J843" s="84">
        <v>0</v>
      </c>
      <c r="K843" s="84">
        <v>0</v>
      </c>
      <c r="L843" s="84">
        <v>0</v>
      </c>
      <c r="M843" s="84">
        <v>0</v>
      </c>
      <c r="N843" s="84">
        <v>0</v>
      </c>
    </row>
    <row r="844" spans="1:14" x14ac:dyDescent="0.25">
      <c r="A844" s="74" t="s">
        <v>2435</v>
      </c>
      <c r="B844" s="74">
        <v>5357</v>
      </c>
      <c r="C844" t="e">
        <f>VLOOKUP(B844,'Waste Lookups'!$B$1:$C$292,2,FALSE)</f>
        <v>#N/A</v>
      </c>
      <c r="D844" s="84">
        <v>813.69818181818187</v>
      </c>
      <c r="E844" s="84">
        <v>0</v>
      </c>
      <c r="F844" s="84">
        <v>0</v>
      </c>
      <c r="G844" s="84">
        <v>0</v>
      </c>
      <c r="H844" s="84">
        <v>0</v>
      </c>
      <c r="I844" s="84"/>
      <c r="J844" s="84">
        <v>0</v>
      </c>
      <c r="K844" s="84">
        <v>0</v>
      </c>
      <c r="L844" s="84">
        <v>0</v>
      </c>
      <c r="M844" s="84">
        <v>0</v>
      </c>
      <c r="N844" s="84">
        <v>0</v>
      </c>
    </row>
    <row r="845" spans="1:14" x14ac:dyDescent="0.25">
      <c r="A845" s="74" t="s">
        <v>2437</v>
      </c>
      <c r="B845" s="74">
        <v>5385</v>
      </c>
      <c r="C845" t="e">
        <f>VLOOKUP(B845,'Waste Lookups'!$B$1:$C$292,2,FALSE)</f>
        <v>#N/A</v>
      </c>
      <c r="D845" s="84">
        <v>1361.6072727272729</v>
      </c>
      <c r="E845" s="84">
        <v>0</v>
      </c>
      <c r="F845" s="84">
        <v>0</v>
      </c>
      <c r="G845" s="84">
        <v>0</v>
      </c>
      <c r="H845" s="84">
        <v>0</v>
      </c>
      <c r="I845" s="84"/>
      <c r="J845" s="84">
        <v>2823.59</v>
      </c>
      <c r="K845" s="84">
        <v>0</v>
      </c>
      <c r="L845" s="84">
        <v>0</v>
      </c>
      <c r="M845" s="84">
        <v>0</v>
      </c>
      <c r="N845" s="84">
        <v>0</v>
      </c>
    </row>
    <row r="846" spans="1:14" x14ac:dyDescent="0.25">
      <c r="A846" s="74" t="s">
        <v>2439</v>
      </c>
      <c r="B846" s="74">
        <v>5386</v>
      </c>
      <c r="C846" t="e">
        <f>VLOOKUP(B846,'Waste Lookups'!$B$1:$C$292,2,FALSE)</f>
        <v>#N/A</v>
      </c>
      <c r="D846" s="84">
        <v>7090.9090909090901</v>
      </c>
      <c r="E846" s="84">
        <v>566.61818181818182</v>
      </c>
      <c r="F846" s="84">
        <v>0</v>
      </c>
      <c r="G846" s="84">
        <v>0</v>
      </c>
      <c r="H846" s="84">
        <v>0</v>
      </c>
      <c r="I846" s="84"/>
      <c r="J846" s="84">
        <v>3104.2005014673618</v>
      </c>
      <c r="K846" s="84">
        <v>248.04949853263813</v>
      </c>
      <c r="L846" s="84">
        <v>0</v>
      </c>
      <c r="M846" s="84">
        <v>0</v>
      </c>
      <c r="N846" s="84">
        <v>0</v>
      </c>
    </row>
    <row r="847" spans="1:14" x14ac:dyDescent="0.25">
      <c r="A847" s="74" t="s">
        <v>2441</v>
      </c>
      <c r="B847" s="74">
        <v>5388</v>
      </c>
      <c r="C847" t="e">
        <f>VLOOKUP(B847,'Waste Lookups'!$B$1:$C$292,2,FALSE)</f>
        <v>#N/A</v>
      </c>
      <c r="D847" s="84">
        <v>5454.545454545455</v>
      </c>
      <c r="E847" s="84">
        <v>0</v>
      </c>
      <c r="F847" s="84">
        <v>0</v>
      </c>
      <c r="G847" s="84">
        <v>0</v>
      </c>
      <c r="H847" s="84">
        <v>0</v>
      </c>
      <c r="I847" s="84"/>
      <c r="J847" s="84">
        <v>0</v>
      </c>
      <c r="K847" s="84">
        <v>0</v>
      </c>
      <c r="L847" s="84">
        <v>0</v>
      </c>
      <c r="M847" s="84">
        <v>0</v>
      </c>
      <c r="N847" s="84">
        <v>0</v>
      </c>
    </row>
    <row r="848" spans="1:14" x14ac:dyDescent="0.25">
      <c r="A848" s="74" t="s">
        <v>2443</v>
      </c>
      <c r="B848" s="74">
        <v>5389</v>
      </c>
      <c r="C848" t="e">
        <f>VLOOKUP(B848,'Waste Lookups'!$B$1:$C$292,2,FALSE)</f>
        <v>#N/A</v>
      </c>
      <c r="D848" s="84">
        <v>6818.181818181818</v>
      </c>
      <c r="E848" s="84">
        <v>0</v>
      </c>
      <c r="F848" s="84">
        <v>0</v>
      </c>
      <c r="G848" s="84">
        <v>0</v>
      </c>
      <c r="H848" s="84">
        <v>0</v>
      </c>
      <c r="I848" s="84"/>
      <c r="J848" s="84">
        <v>0</v>
      </c>
      <c r="K848" s="84">
        <v>0</v>
      </c>
      <c r="L848" s="84">
        <v>0</v>
      </c>
      <c r="M848" s="84">
        <v>0</v>
      </c>
      <c r="N848" s="84">
        <v>0</v>
      </c>
    </row>
    <row r="849" spans="1:14" x14ac:dyDescent="0.25">
      <c r="A849" s="74" t="s">
        <v>2445</v>
      </c>
      <c r="B849" s="74">
        <v>5390</v>
      </c>
      <c r="C849" t="e">
        <f>VLOOKUP(B849,'Waste Lookups'!$B$1:$C$292,2,FALSE)</f>
        <v>#N/A</v>
      </c>
      <c r="D849" s="84">
        <v>9545.454545454546</v>
      </c>
      <c r="E849" s="84">
        <v>663.70909090909083</v>
      </c>
      <c r="F849" s="84">
        <v>0</v>
      </c>
      <c r="G849" s="84">
        <v>0</v>
      </c>
      <c r="H849" s="84">
        <v>0</v>
      </c>
      <c r="I849" s="84"/>
      <c r="J849" s="84">
        <v>4209.4695674474269</v>
      </c>
      <c r="K849" s="84">
        <v>292.69043255257304</v>
      </c>
      <c r="L849" s="84">
        <v>0</v>
      </c>
      <c r="M849" s="84">
        <v>0</v>
      </c>
      <c r="N849" s="84">
        <v>0</v>
      </c>
    </row>
    <row r="850" spans="1:14" x14ac:dyDescent="0.25">
      <c r="A850" s="74" t="s">
        <v>2447</v>
      </c>
      <c r="B850" s="74">
        <v>5391</v>
      </c>
      <c r="C850" t="e">
        <f>VLOOKUP(B850,'Waste Lookups'!$B$1:$C$292,2,FALSE)</f>
        <v>#N/A</v>
      </c>
      <c r="D850" s="84">
        <v>17508.643636363635</v>
      </c>
      <c r="E850" s="84">
        <v>478.21090909090913</v>
      </c>
      <c r="F850" s="84">
        <v>0</v>
      </c>
      <c r="G850" s="84">
        <v>296.68363636363637</v>
      </c>
      <c r="H850" s="84">
        <v>0</v>
      </c>
      <c r="I850" s="84"/>
      <c r="J850" s="84">
        <v>5154.1102720599338</v>
      </c>
      <c r="K850" s="84">
        <v>140.77342653988001</v>
      </c>
      <c r="L850" s="84">
        <v>0</v>
      </c>
      <c r="M850" s="84">
        <v>87.336301400186528</v>
      </c>
      <c r="N850" s="84">
        <v>0</v>
      </c>
    </row>
    <row r="851" spans="1:14" x14ac:dyDescent="0.25">
      <c r="A851" s="74" t="s">
        <v>2449</v>
      </c>
      <c r="B851" s="74">
        <v>5393</v>
      </c>
      <c r="C851" t="e">
        <f>VLOOKUP(B851,'Waste Lookups'!$B$1:$C$292,2,FALSE)</f>
        <v>#N/A</v>
      </c>
      <c r="D851" s="84">
        <v>7000.0036363636373</v>
      </c>
      <c r="E851" s="84">
        <v>283.34181818181821</v>
      </c>
      <c r="F851" s="84">
        <v>0</v>
      </c>
      <c r="G851" s="84">
        <v>0</v>
      </c>
      <c r="H851" s="84">
        <v>0</v>
      </c>
      <c r="I851" s="84"/>
      <c r="J851" s="84">
        <v>547.14308074710925</v>
      </c>
      <c r="K851" s="84">
        <v>22.146919252890779</v>
      </c>
      <c r="L851" s="84">
        <v>0</v>
      </c>
      <c r="M851" s="84">
        <v>0</v>
      </c>
      <c r="N851" s="84">
        <v>0</v>
      </c>
    </row>
    <row r="852" spans="1:14" x14ac:dyDescent="0.25">
      <c r="A852" s="74" t="s">
        <v>2451</v>
      </c>
      <c r="B852" s="74">
        <v>5394</v>
      </c>
      <c r="C852" t="e">
        <f>VLOOKUP(B852,'Waste Lookups'!$B$1:$C$292,2,FALSE)</f>
        <v>#N/A</v>
      </c>
      <c r="D852" s="84">
        <v>3000</v>
      </c>
      <c r="E852" s="84">
        <v>0</v>
      </c>
      <c r="F852" s="84">
        <v>0</v>
      </c>
      <c r="G852" s="84">
        <v>0</v>
      </c>
      <c r="H852" s="84">
        <v>0</v>
      </c>
      <c r="I852" s="84"/>
      <c r="J852" s="84">
        <v>0</v>
      </c>
      <c r="K852" s="84">
        <v>0</v>
      </c>
      <c r="L852" s="84">
        <v>0</v>
      </c>
      <c r="M852" s="84">
        <v>0</v>
      </c>
      <c r="N852" s="84">
        <v>0</v>
      </c>
    </row>
    <row r="853" spans="1:14" x14ac:dyDescent="0.25">
      <c r="A853" s="74" t="s">
        <v>2453</v>
      </c>
      <c r="B853" s="74">
        <v>5395</v>
      </c>
      <c r="C853" t="e">
        <f>VLOOKUP(B853,'Waste Lookups'!$B$1:$C$292,2,FALSE)</f>
        <v>#N/A</v>
      </c>
      <c r="D853" s="84">
        <v>6936</v>
      </c>
      <c r="E853" s="84">
        <v>849.97090909090912</v>
      </c>
      <c r="F853" s="84">
        <v>0</v>
      </c>
      <c r="G853" s="84">
        <v>0</v>
      </c>
      <c r="H853" s="84">
        <v>0</v>
      </c>
      <c r="I853" s="84"/>
      <c r="J853" s="84">
        <v>1546.3525025430354</v>
      </c>
      <c r="K853" s="84">
        <v>189.49749745696454</v>
      </c>
      <c r="L853" s="84">
        <v>0</v>
      </c>
      <c r="M853" s="84">
        <v>0</v>
      </c>
      <c r="N853" s="84">
        <v>0</v>
      </c>
    </row>
    <row r="854" spans="1:14" x14ac:dyDescent="0.25">
      <c r="A854" s="74" t="s">
        <v>2455</v>
      </c>
      <c r="B854" s="74">
        <v>5396</v>
      </c>
      <c r="C854" t="e">
        <f>VLOOKUP(B854,'Waste Lookups'!$B$1:$C$292,2,FALSE)</f>
        <v>#N/A</v>
      </c>
      <c r="D854" s="84">
        <v>4698</v>
      </c>
      <c r="E854" s="84">
        <v>283.33090909090913</v>
      </c>
      <c r="F854" s="84">
        <v>0</v>
      </c>
      <c r="G854" s="84">
        <v>0</v>
      </c>
      <c r="H854" s="84">
        <v>0</v>
      </c>
      <c r="I854" s="84"/>
      <c r="J854" s="84">
        <v>581.65128815519188</v>
      </c>
      <c r="K854" s="84">
        <v>35.07871184480819</v>
      </c>
      <c r="L854" s="84">
        <v>0</v>
      </c>
      <c r="M854" s="84">
        <v>0</v>
      </c>
      <c r="N854" s="84">
        <v>0</v>
      </c>
    </row>
    <row r="855" spans="1:14" x14ac:dyDescent="0.25">
      <c r="A855" s="74" t="s">
        <v>2457</v>
      </c>
      <c r="B855" s="74">
        <v>5397</v>
      </c>
      <c r="C855" t="e">
        <f>VLOOKUP(B855,'Waste Lookups'!$B$1:$C$292,2,FALSE)</f>
        <v>#N/A</v>
      </c>
      <c r="D855" s="84">
        <v>8500.0036363636373</v>
      </c>
      <c r="E855" s="84">
        <v>583.70181818181811</v>
      </c>
      <c r="F855" s="84">
        <v>0</v>
      </c>
      <c r="G855" s="84">
        <v>0</v>
      </c>
      <c r="H855" s="84">
        <v>0</v>
      </c>
      <c r="I855" s="84"/>
      <c r="J855" s="84">
        <v>2884.4337082744369</v>
      </c>
      <c r="K855" s="84">
        <v>198.07629172556329</v>
      </c>
      <c r="L855" s="84">
        <v>0</v>
      </c>
      <c r="M855" s="84">
        <v>0</v>
      </c>
      <c r="N855" s="84">
        <v>0</v>
      </c>
    </row>
    <row r="856" spans="1:14" x14ac:dyDescent="0.25">
      <c r="A856" s="74" t="s">
        <v>2459</v>
      </c>
      <c r="B856" s="74">
        <v>5398</v>
      </c>
      <c r="C856" t="e">
        <f>VLOOKUP(B856,'Waste Lookups'!$B$1:$C$292,2,FALSE)</f>
        <v>#N/A</v>
      </c>
      <c r="D856" s="84">
        <v>13500</v>
      </c>
      <c r="E856" s="84">
        <v>1746.5018181818182</v>
      </c>
      <c r="F856" s="84">
        <v>0</v>
      </c>
      <c r="G856" s="84">
        <v>0</v>
      </c>
      <c r="H856" s="84">
        <v>0</v>
      </c>
      <c r="I856" s="84"/>
      <c r="J856" s="84">
        <v>5832.1516017504346</v>
      </c>
      <c r="K856" s="84">
        <v>754.50839824956563</v>
      </c>
      <c r="L856" s="84">
        <v>0</v>
      </c>
      <c r="M856" s="84">
        <v>0</v>
      </c>
      <c r="N856" s="84">
        <v>0</v>
      </c>
    </row>
    <row r="857" spans="1:14" x14ac:dyDescent="0.25">
      <c r="A857" s="74" t="s">
        <v>2461</v>
      </c>
      <c r="B857" s="74">
        <v>5400</v>
      </c>
      <c r="C857" t="e">
        <f>VLOOKUP(B857,'Waste Lookups'!$B$1:$C$292,2,FALSE)</f>
        <v>#N/A</v>
      </c>
      <c r="D857" s="84">
        <v>9999.9927272727273</v>
      </c>
      <c r="E857" s="84">
        <v>2047.5818181818181</v>
      </c>
      <c r="F857" s="84">
        <v>0</v>
      </c>
      <c r="G857" s="84">
        <v>0</v>
      </c>
      <c r="H857" s="84">
        <v>0</v>
      </c>
      <c r="I857" s="84"/>
      <c r="J857" s="84">
        <v>6114.1971896689583</v>
      </c>
      <c r="K857" s="84">
        <v>1251.9328103310422</v>
      </c>
      <c r="L857" s="84">
        <v>0</v>
      </c>
      <c r="M857" s="84">
        <v>0</v>
      </c>
      <c r="N857" s="84">
        <v>0</v>
      </c>
    </row>
    <row r="858" spans="1:14" x14ac:dyDescent="0.25">
      <c r="A858" s="74" t="s">
        <v>2463</v>
      </c>
      <c r="B858" s="74">
        <v>5401</v>
      </c>
      <c r="C858" t="e">
        <f>VLOOKUP(B858,'Waste Lookups'!$B$1:$C$292,2,FALSE)</f>
        <v>#N/A</v>
      </c>
      <c r="D858" s="84">
        <v>7727.2690909090907</v>
      </c>
      <c r="E858" s="84">
        <v>0</v>
      </c>
      <c r="F858" s="84">
        <v>0</v>
      </c>
      <c r="G858" s="84">
        <v>0</v>
      </c>
      <c r="H858" s="84">
        <v>0</v>
      </c>
      <c r="I858" s="84"/>
      <c r="J858" s="84">
        <v>2710.38</v>
      </c>
      <c r="K858" s="84">
        <v>0</v>
      </c>
      <c r="L858" s="84">
        <v>0</v>
      </c>
      <c r="M858" s="84">
        <v>0</v>
      </c>
      <c r="N858" s="84">
        <v>0</v>
      </c>
    </row>
    <row r="859" spans="1:14" x14ac:dyDescent="0.25">
      <c r="A859" s="74" t="s">
        <v>2465</v>
      </c>
      <c r="B859" s="74">
        <v>5402</v>
      </c>
      <c r="C859" t="e">
        <f>VLOOKUP(B859,'Waste Lookups'!$B$1:$C$292,2,FALSE)</f>
        <v>#N/A</v>
      </c>
      <c r="D859" s="84">
        <v>10454.541818181819</v>
      </c>
      <c r="E859" s="84">
        <v>333.12</v>
      </c>
      <c r="F859" s="84">
        <v>0</v>
      </c>
      <c r="G859" s="84">
        <v>0</v>
      </c>
      <c r="H859" s="84">
        <v>0</v>
      </c>
      <c r="I859" s="84"/>
      <c r="J859" s="84">
        <v>3042.475582569582</v>
      </c>
      <c r="K859" s="84">
        <v>96.944417430417985</v>
      </c>
      <c r="L859" s="84">
        <v>0</v>
      </c>
      <c r="M859" s="84">
        <v>0</v>
      </c>
      <c r="N859" s="84">
        <v>0</v>
      </c>
    </row>
    <row r="860" spans="1:14" x14ac:dyDescent="0.25">
      <c r="A860" s="74" t="s">
        <v>2467</v>
      </c>
      <c r="B860" s="74">
        <v>5403</v>
      </c>
      <c r="C860" t="e">
        <f>VLOOKUP(B860,'Waste Lookups'!$B$1:$C$292,2,FALSE)</f>
        <v>#N/A</v>
      </c>
      <c r="D860" s="84">
        <v>9999.9927272727273</v>
      </c>
      <c r="E860" s="84">
        <v>1167.2945454545454</v>
      </c>
      <c r="F860" s="84">
        <v>0</v>
      </c>
      <c r="G860" s="84">
        <v>0</v>
      </c>
      <c r="H860" s="84">
        <v>0</v>
      </c>
      <c r="I860" s="84"/>
      <c r="J860" s="84">
        <v>4162.3596724523959</v>
      </c>
      <c r="K860" s="84">
        <v>485.87032754760321</v>
      </c>
      <c r="L860" s="84">
        <v>0</v>
      </c>
      <c r="M860" s="84">
        <v>0</v>
      </c>
      <c r="N860" s="84">
        <v>0</v>
      </c>
    </row>
    <row r="861" spans="1:14" x14ac:dyDescent="0.25">
      <c r="A861" s="74" t="s">
        <v>2469</v>
      </c>
      <c r="B861" s="74">
        <v>5404</v>
      </c>
      <c r="C861" t="e">
        <f>VLOOKUP(B861,'Waste Lookups'!$B$1:$C$292,2,FALSE)</f>
        <v>#N/A</v>
      </c>
      <c r="D861" s="84">
        <v>2727.2727272727275</v>
      </c>
      <c r="E861" s="84">
        <v>0</v>
      </c>
      <c r="F861" s="84">
        <v>0</v>
      </c>
      <c r="G861" s="84">
        <v>0</v>
      </c>
      <c r="H861" s="84">
        <v>0</v>
      </c>
      <c r="I861" s="84"/>
      <c r="J861" s="84">
        <v>0</v>
      </c>
      <c r="K861" s="84">
        <v>0</v>
      </c>
      <c r="L861" s="84">
        <v>0</v>
      </c>
      <c r="M861" s="84">
        <v>0</v>
      </c>
      <c r="N861" s="84">
        <v>0</v>
      </c>
    </row>
    <row r="862" spans="1:14" x14ac:dyDescent="0.25">
      <c r="A862" s="74" t="s">
        <v>2471</v>
      </c>
      <c r="B862" s="74">
        <v>5405</v>
      </c>
      <c r="C862" t="e">
        <f>VLOOKUP(B862,'Waste Lookups'!$B$1:$C$292,2,FALSE)</f>
        <v>#N/A</v>
      </c>
      <c r="D862" s="84">
        <v>3499.9963636363636</v>
      </c>
      <c r="E862" s="84">
        <v>252.65454545454546</v>
      </c>
      <c r="F862" s="84">
        <v>0</v>
      </c>
      <c r="G862" s="84">
        <v>0</v>
      </c>
      <c r="H862" s="84">
        <v>0</v>
      </c>
      <c r="I862" s="84"/>
      <c r="J862" s="84">
        <v>523.75187716029109</v>
      </c>
      <c r="K862" s="84">
        <v>37.80812283970895</v>
      </c>
      <c r="L862" s="84">
        <v>0</v>
      </c>
      <c r="M862" s="84">
        <v>0</v>
      </c>
      <c r="N862" s="84">
        <v>0</v>
      </c>
    </row>
    <row r="863" spans="1:14" x14ac:dyDescent="0.25">
      <c r="A863" s="74" t="s">
        <v>2473</v>
      </c>
      <c r="B863" s="74">
        <v>5407</v>
      </c>
      <c r="C863" t="e">
        <f>VLOOKUP(B863,'Waste Lookups'!$B$1:$C$292,2,FALSE)</f>
        <v>#N/A</v>
      </c>
      <c r="D863" s="84">
        <v>171.17454545454544</v>
      </c>
      <c r="E863" s="84">
        <v>292.09090909090907</v>
      </c>
      <c r="F863" s="84">
        <v>0</v>
      </c>
      <c r="G863" s="84">
        <v>0</v>
      </c>
      <c r="H863" s="84">
        <v>0</v>
      </c>
      <c r="I863" s="84"/>
      <c r="J863" s="84">
        <v>503.7037870296237</v>
      </c>
      <c r="K863" s="84">
        <v>859.51621297037627</v>
      </c>
      <c r="L863" s="84">
        <v>0</v>
      </c>
      <c r="M863" s="84">
        <v>0</v>
      </c>
      <c r="N863" s="84">
        <v>0</v>
      </c>
    </row>
    <row r="864" spans="1:14" x14ac:dyDescent="0.25">
      <c r="A864" s="74" t="s">
        <v>2475</v>
      </c>
      <c r="B864" s="74">
        <v>5408</v>
      </c>
      <c r="C864" t="e">
        <f>VLOOKUP(B864,'Waste Lookups'!$B$1:$C$292,2,FALSE)</f>
        <v>#N/A</v>
      </c>
      <c r="D864" s="84">
        <v>615.33818181818174</v>
      </c>
      <c r="E864" s="84">
        <v>972.83999999999992</v>
      </c>
      <c r="F864" s="84">
        <v>0</v>
      </c>
      <c r="G864" s="84">
        <v>0</v>
      </c>
      <c r="H864" s="84">
        <v>0</v>
      </c>
      <c r="I864" s="84"/>
      <c r="J864" s="84">
        <v>2109.7609992924999</v>
      </c>
      <c r="K864" s="84">
        <v>3335.4990007075003</v>
      </c>
      <c r="L864" s="84">
        <v>0</v>
      </c>
      <c r="M864" s="84">
        <v>0</v>
      </c>
      <c r="N864" s="84">
        <v>0</v>
      </c>
    </row>
    <row r="865" spans="1:14" x14ac:dyDescent="0.25">
      <c r="A865" s="74" t="s">
        <v>2477</v>
      </c>
      <c r="B865" s="74">
        <v>5409</v>
      </c>
      <c r="C865" t="e">
        <f>VLOOKUP(B865,'Waste Lookups'!$B$1:$C$292,2,FALSE)</f>
        <v>#N/A</v>
      </c>
      <c r="D865" s="84">
        <v>3000</v>
      </c>
      <c r="E865" s="84">
        <v>0</v>
      </c>
      <c r="F865" s="84">
        <v>0</v>
      </c>
      <c r="G865" s="84">
        <v>0</v>
      </c>
      <c r="H865" s="84">
        <v>0</v>
      </c>
      <c r="I865" s="84"/>
      <c r="J865" s="84">
        <v>219.16</v>
      </c>
      <c r="K865" s="84">
        <v>0</v>
      </c>
      <c r="L865" s="84">
        <v>0</v>
      </c>
      <c r="M865" s="84">
        <v>0</v>
      </c>
      <c r="N865" s="84">
        <v>0</v>
      </c>
    </row>
    <row r="866" spans="1:14" x14ac:dyDescent="0.25">
      <c r="A866" s="74" t="s">
        <v>2479</v>
      </c>
      <c r="B866" s="74">
        <v>5410</v>
      </c>
      <c r="C866" t="e">
        <f>VLOOKUP(B866,'Waste Lookups'!$B$1:$C$292,2,FALSE)</f>
        <v>#N/A</v>
      </c>
      <c r="D866" s="84">
        <v>6701.2145454545443</v>
      </c>
      <c r="E866" s="84">
        <v>0</v>
      </c>
      <c r="F866" s="84">
        <v>0</v>
      </c>
      <c r="G866" s="84">
        <v>0</v>
      </c>
      <c r="H866" s="84">
        <v>0</v>
      </c>
      <c r="I866" s="84"/>
      <c r="J866" s="84">
        <v>8170.96</v>
      </c>
      <c r="K866" s="84">
        <v>0</v>
      </c>
      <c r="L866" s="84">
        <v>0</v>
      </c>
      <c r="M866" s="84">
        <v>0</v>
      </c>
      <c r="N866" s="84">
        <v>0</v>
      </c>
    </row>
    <row r="867" spans="1:14" x14ac:dyDescent="0.25">
      <c r="A867" s="74" t="s">
        <v>2481</v>
      </c>
      <c r="B867" s="74">
        <v>5411</v>
      </c>
      <c r="C867" t="e">
        <f>VLOOKUP(B867,'Waste Lookups'!$B$1:$C$292,2,FALSE)</f>
        <v>#N/A</v>
      </c>
      <c r="D867" s="84">
        <v>3000</v>
      </c>
      <c r="E867" s="84">
        <v>0</v>
      </c>
      <c r="F867" s="84">
        <v>0</v>
      </c>
      <c r="G867" s="84">
        <v>0</v>
      </c>
      <c r="H867" s="84">
        <v>0</v>
      </c>
      <c r="I867" s="84"/>
      <c r="J867" s="84">
        <v>0</v>
      </c>
      <c r="K867" s="84">
        <v>0</v>
      </c>
      <c r="L867" s="84">
        <v>0</v>
      </c>
      <c r="M867" s="84">
        <v>0</v>
      </c>
      <c r="N867" s="84">
        <v>0</v>
      </c>
    </row>
    <row r="868" spans="1:14" x14ac:dyDescent="0.25">
      <c r="A868" s="74" t="s">
        <v>2483</v>
      </c>
      <c r="B868" s="74">
        <v>5412</v>
      </c>
      <c r="C868" t="e">
        <f>VLOOKUP(B868,'Waste Lookups'!$B$1:$C$292,2,FALSE)</f>
        <v>#N/A</v>
      </c>
      <c r="D868" s="84">
        <v>3819.7854545454547</v>
      </c>
      <c r="E868" s="84">
        <v>0</v>
      </c>
      <c r="F868" s="84">
        <v>0</v>
      </c>
      <c r="G868" s="84">
        <v>0</v>
      </c>
      <c r="H868" s="84">
        <v>0</v>
      </c>
      <c r="I868" s="84"/>
      <c r="J868" s="84">
        <v>8708.18</v>
      </c>
      <c r="K868" s="84">
        <v>0</v>
      </c>
      <c r="L868" s="84">
        <v>0</v>
      </c>
      <c r="M868" s="84">
        <v>0</v>
      </c>
      <c r="N868" s="84">
        <v>0</v>
      </c>
    </row>
    <row r="869" spans="1:14" x14ac:dyDescent="0.25">
      <c r="A869" s="74" t="s">
        <v>2485</v>
      </c>
      <c r="B869" s="74">
        <v>5413</v>
      </c>
      <c r="C869" t="e">
        <f>VLOOKUP(B869,'Waste Lookups'!$B$1:$C$292,2,FALSE)</f>
        <v>#N/A</v>
      </c>
      <c r="D869" s="84">
        <v>9499.9963636363627</v>
      </c>
      <c r="E869" s="84">
        <v>728.37818181818182</v>
      </c>
      <c r="F869" s="84">
        <v>0</v>
      </c>
      <c r="G869" s="84">
        <v>0</v>
      </c>
      <c r="H869" s="84">
        <v>0</v>
      </c>
      <c r="I869" s="84"/>
      <c r="J869" s="84">
        <v>1444.00601296287</v>
      </c>
      <c r="K869" s="84">
        <v>110.71398703712988</v>
      </c>
      <c r="L869" s="84">
        <v>0</v>
      </c>
      <c r="M869" s="84">
        <v>0</v>
      </c>
      <c r="N869" s="84">
        <v>0</v>
      </c>
    </row>
    <row r="870" spans="1:14" x14ac:dyDescent="0.25">
      <c r="A870" s="74" t="s">
        <v>2487</v>
      </c>
      <c r="B870" s="74">
        <v>5414</v>
      </c>
      <c r="C870" t="e">
        <f>VLOOKUP(B870,'Waste Lookups'!$B$1:$C$292,2,FALSE)</f>
        <v>#N/A</v>
      </c>
      <c r="D870" s="84">
        <v>67.603636363636369</v>
      </c>
      <c r="E870" s="84">
        <v>0</v>
      </c>
      <c r="F870" s="84">
        <v>0</v>
      </c>
      <c r="G870" s="84">
        <v>0</v>
      </c>
      <c r="H870" s="84">
        <v>0</v>
      </c>
      <c r="I870" s="84"/>
      <c r="J870" s="84">
        <v>0</v>
      </c>
      <c r="K870" s="84">
        <v>0</v>
      </c>
      <c r="L870" s="84">
        <v>0</v>
      </c>
      <c r="M870" s="84">
        <v>0</v>
      </c>
      <c r="N870" s="84">
        <v>0</v>
      </c>
    </row>
    <row r="871" spans="1:14" x14ac:dyDescent="0.25">
      <c r="A871" s="74" t="s">
        <v>2489</v>
      </c>
      <c r="B871" s="74">
        <v>5415</v>
      </c>
      <c r="C871" t="e">
        <f>VLOOKUP(B871,'Waste Lookups'!$B$1:$C$292,2,FALSE)</f>
        <v>#N/A</v>
      </c>
      <c r="D871" s="84">
        <v>7600.0036363636373</v>
      </c>
      <c r="E871" s="84">
        <v>68.072727272727278</v>
      </c>
      <c r="F871" s="84">
        <v>0</v>
      </c>
      <c r="G871" s="84">
        <v>0</v>
      </c>
      <c r="H871" s="84">
        <v>0</v>
      </c>
      <c r="I871" s="84"/>
      <c r="J871" s="84">
        <v>554.83042080958069</v>
      </c>
      <c r="K871" s="84">
        <v>4.9695791904192159</v>
      </c>
      <c r="L871" s="84">
        <v>0</v>
      </c>
      <c r="M871" s="84">
        <v>0</v>
      </c>
      <c r="N871" s="84">
        <v>0</v>
      </c>
    </row>
    <row r="872" spans="1:14" x14ac:dyDescent="0.25">
      <c r="A872" s="74" t="s">
        <v>2491</v>
      </c>
      <c r="B872" s="74">
        <v>5416</v>
      </c>
      <c r="C872" t="e">
        <f>VLOOKUP(B872,'Waste Lookups'!$B$1:$C$292,2,FALSE)</f>
        <v>#N/A</v>
      </c>
      <c r="D872" s="84">
        <v>6363.6327272727267</v>
      </c>
      <c r="E872" s="84">
        <v>0</v>
      </c>
      <c r="F872" s="84">
        <v>0</v>
      </c>
      <c r="G872" s="84">
        <v>0</v>
      </c>
      <c r="H872" s="84">
        <v>0</v>
      </c>
      <c r="I872" s="84"/>
      <c r="J872" s="84">
        <v>0</v>
      </c>
      <c r="K872" s="84">
        <v>0</v>
      </c>
      <c r="L872" s="84">
        <v>0</v>
      </c>
      <c r="M872" s="84">
        <v>0</v>
      </c>
      <c r="N872" s="84">
        <v>0</v>
      </c>
    </row>
    <row r="873" spans="1:14" x14ac:dyDescent="0.25">
      <c r="A873" s="74" t="s">
        <v>2493</v>
      </c>
      <c r="B873" s="74">
        <v>5417</v>
      </c>
      <c r="C873" t="e">
        <f>VLOOKUP(B873,'Waste Lookups'!$B$1:$C$292,2,FALSE)</f>
        <v>#N/A</v>
      </c>
      <c r="D873" s="84">
        <v>5454.545454545455</v>
      </c>
      <c r="E873" s="84">
        <v>0</v>
      </c>
      <c r="F873" s="84">
        <v>0</v>
      </c>
      <c r="G873" s="84">
        <v>0</v>
      </c>
      <c r="H873" s="84">
        <v>0</v>
      </c>
      <c r="I873" s="84"/>
      <c r="J873" s="84">
        <v>0</v>
      </c>
      <c r="K873" s="84">
        <v>0</v>
      </c>
      <c r="L873" s="84">
        <v>0</v>
      </c>
      <c r="M873" s="84">
        <v>0</v>
      </c>
      <c r="N873" s="84">
        <v>0</v>
      </c>
    </row>
    <row r="874" spans="1:14" x14ac:dyDescent="0.25">
      <c r="A874" s="74" t="s">
        <v>2495</v>
      </c>
      <c r="B874" s="74">
        <v>5418</v>
      </c>
      <c r="C874" t="e">
        <f>VLOOKUP(B874,'Waste Lookups'!$B$1:$C$292,2,FALSE)</f>
        <v>#N/A</v>
      </c>
      <c r="D874" s="84">
        <v>52.298181818181817</v>
      </c>
      <c r="E874" s="84">
        <v>0</v>
      </c>
      <c r="F874" s="84">
        <v>0</v>
      </c>
      <c r="G874" s="84">
        <v>0</v>
      </c>
      <c r="H874" s="84">
        <v>0</v>
      </c>
      <c r="I874" s="84"/>
      <c r="J874" s="84">
        <v>48</v>
      </c>
      <c r="K874" s="84">
        <v>0</v>
      </c>
      <c r="L874" s="84">
        <v>0</v>
      </c>
      <c r="M874" s="84">
        <v>0</v>
      </c>
      <c r="N874" s="84">
        <v>0</v>
      </c>
    </row>
    <row r="875" spans="1:14" x14ac:dyDescent="0.25">
      <c r="A875" s="74" t="s">
        <v>2497</v>
      </c>
      <c r="B875" s="74">
        <v>5419</v>
      </c>
      <c r="C875" t="e">
        <f>VLOOKUP(B875,'Waste Lookups'!$B$1:$C$292,2,FALSE)</f>
        <v>#N/A</v>
      </c>
      <c r="D875" s="84">
        <v>7909.0909090909099</v>
      </c>
      <c r="E875" s="84">
        <v>0</v>
      </c>
      <c r="F875" s="84">
        <v>0</v>
      </c>
      <c r="G875" s="84">
        <v>0</v>
      </c>
      <c r="H875" s="84">
        <v>0</v>
      </c>
      <c r="I875" s="84"/>
      <c r="J875" s="84">
        <v>241.95</v>
      </c>
      <c r="K875" s="84">
        <v>0</v>
      </c>
      <c r="L875" s="84">
        <v>0</v>
      </c>
      <c r="M875" s="84">
        <v>0</v>
      </c>
      <c r="N875" s="84">
        <v>0</v>
      </c>
    </row>
    <row r="876" spans="1:14" x14ac:dyDescent="0.25">
      <c r="A876" s="74" t="s">
        <v>2499</v>
      </c>
      <c r="B876" s="74">
        <v>5420</v>
      </c>
      <c r="C876" t="e">
        <f>VLOOKUP(B876,'Waste Lookups'!$B$1:$C$292,2,FALSE)</f>
        <v>#N/A</v>
      </c>
      <c r="D876" s="84">
        <v>9538.1781818181826</v>
      </c>
      <c r="E876" s="84">
        <v>849.97090909090912</v>
      </c>
      <c r="F876" s="84">
        <v>0</v>
      </c>
      <c r="G876" s="84">
        <v>0</v>
      </c>
      <c r="H876" s="84">
        <v>0</v>
      </c>
      <c r="I876" s="84"/>
      <c r="J876" s="84">
        <v>5246.5837980691986</v>
      </c>
      <c r="K876" s="84">
        <v>467.53620193080155</v>
      </c>
      <c r="L876" s="84">
        <v>0</v>
      </c>
      <c r="M876" s="84">
        <v>0</v>
      </c>
      <c r="N876" s="84">
        <v>0</v>
      </c>
    </row>
    <row r="877" spans="1:14" x14ac:dyDescent="0.25">
      <c r="A877" s="74" t="s">
        <v>2501</v>
      </c>
      <c r="B877" s="74">
        <v>5421</v>
      </c>
      <c r="C877" t="e">
        <f>VLOOKUP(B877,'Waste Lookups'!$B$1:$C$292,2,FALSE)</f>
        <v>#N/A</v>
      </c>
      <c r="D877" s="84">
        <v>12538.167272727271</v>
      </c>
      <c r="E877" s="84">
        <v>566.61818181818182</v>
      </c>
      <c r="F877" s="84">
        <v>0</v>
      </c>
      <c r="G877" s="84">
        <v>0</v>
      </c>
      <c r="H877" s="84">
        <v>0</v>
      </c>
      <c r="I877" s="84"/>
      <c r="J877" s="84">
        <v>4317.3812064877893</v>
      </c>
      <c r="K877" s="84">
        <v>195.10879351221041</v>
      </c>
      <c r="L877" s="84">
        <v>0</v>
      </c>
      <c r="M877" s="84">
        <v>0</v>
      </c>
      <c r="N877" s="84">
        <v>0</v>
      </c>
    </row>
    <row r="878" spans="1:14" x14ac:dyDescent="0.25">
      <c r="A878" s="74" t="s">
        <v>2503</v>
      </c>
      <c r="B878" s="74">
        <v>5422</v>
      </c>
      <c r="C878" t="e">
        <f>VLOOKUP(B878,'Waste Lookups'!$B$1:$C$292,2,FALSE)</f>
        <v>#N/A</v>
      </c>
      <c r="D878" s="84">
        <v>3000</v>
      </c>
      <c r="E878" s="84">
        <v>0</v>
      </c>
      <c r="F878" s="84">
        <v>0</v>
      </c>
      <c r="G878" s="84">
        <v>0</v>
      </c>
      <c r="H878" s="84">
        <v>0</v>
      </c>
      <c r="I878" s="84"/>
      <c r="J878" s="84">
        <v>0</v>
      </c>
      <c r="K878" s="84">
        <v>0</v>
      </c>
      <c r="L878" s="84">
        <v>0</v>
      </c>
      <c r="M878" s="84">
        <v>0</v>
      </c>
      <c r="N878" s="84">
        <v>0</v>
      </c>
    </row>
    <row r="879" spans="1:14" x14ac:dyDescent="0.25">
      <c r="A879" s="74" t="s">
        <v>2505</v>
      </c>
      <c r="B879" s="74">
        <v>5441</v>
      </c>
      <c r="C879" t="e">
        <f>VLOOKUP(B879,'Waste Lookups'!$B$1:$C$292,2,FALSE)</f>
        <v>#N/A</v>
      </c>
      <c r="D879" s="84">
        <v>4.9527272727272731</v>
      </c>
      <c r="E879" s="84">
        <v>0</v>
      </c>
      <c r="F879" s="84">
        <v>0</v>
      </c>
      <c r="G879" s="84">
        <v>0</v>
      </c>
      <c r="H879" s="84">
        <v>0</v>
      </c>
      <c r="I879" s="84"/>
      <c r="J879" s="84">
        <v>0</v>
      </c>
      <c r="K879" s="84">
        <v>0</v>
      </c>
      <c r="L879" s="84">
        <v>0</v>
      </c>
      <c r="M879" s="84">
        <v>0</v>
      </c>
      <c r="N879" s="84">
        <v>0</v>
      </c>
    </row>
    <row r="880" spans="1:14" x14ac:dyDescent="0.25">
      <c r="A880" s="74" t="s">
        <v>2507</v>
      </c>
      <c r="B880" s="74">
        <v>5449</v>
      </c>
      <c r="C880" t="e">
        <f>VLOOKUP(B880,'Waste Lookups'!$B$1:$C$292,2,FALSE)</f>
        <v>#N/A</v>
      </c>
      <c r="D880" s="84">
        <v>0</v>
      </c>
      <c r="E880" s="84">
        <v>0</v>
      </c>
      <c r="F880" s="84">
        <v>0</v>
      </c>
      <c r="G880" s="84">
        <v>0</v>
      </c>
      <c r="H880" s="84">
        <v>17.018181818181819</v>
      </c>
      <c r="I880" s="84"/>
      <c r="J880" s="84">
        <v>0</v>
      </c>
      <c r="K880" s="84">
        <v>0</v>
      </c>
      <c r="L880" s="84">
        <v>0</v>
      </c>
      <c r="M880" s="84">
        <v>0</v>
      </c>
      <c r="N880" s="84">
        <v>0</v>
      </c>
    </row>
    <row r="881" spans="1:14" x14ac:dyDescent="0.25">
      <c r="A881" s="74" t="s">
        <v>2509</v>
      </c>
      <c r="B881" s="74">
        <v>5456</v>
      </c>
      <c r="C881" t="e">
        <f>VLOOKUP(B881,'Waste Lookups'!$B$1:$C$292,2,FALSE)</f>
        <v>#N/A</v>
      </c>
      <c r="D881" s="84">
        <v>0</v>
      </c>
      <c r="E881" s="84">
        <v>0</v>
      </c>
      <c r="F881" s="84">
        <v>0</v>
      </c>
      <c r="G881" s="84">
        <v>0</v>
      </c>
      <c r="H881" s="84">
        <v>82.472727272727269</v>
      </c>
      <c r="I881" s="84"/>
      <c r="J881" s="84">
        <v>0</v>
      </c>
      <c r="K881" s="84">
        <v>0</v>
      </c>
      <c r="L881" s="84">
        <v>0</v>
      </c>
      <c r="M881" s="84">
        <v>0</v>
      </c>
      <c r="N881" s="84">
        <v>0</v>
      </c>
    </row>
    <row r="882" spans="1:14" x14ac:dyDescent="0.25">
      <c r="A882" s="74" t="s">
        <v>2511</v>
      </c>
      <c r="B882" s="74">
        <v>5459</v>
      </c>
      <c r="C882" t="e">
        <f>VLOOKUP(B882,'Waste Lookups'!$B$1:$C$292,2,FALSE)</f>
        <v>#N/A</v>
      </c>
      <c r="D882" s="84">
        <v>138.05454545454546</v>
      </c>
      <c r="E882" s="84">
        <v>0</v>
      </c>
      <c r="F882" s="84">
        <v>0</v>
      </c>
      <c r="G882" s="84">
        <v>0</v>
      </c>
      <c r="H882" s="84">
        <v>196.36363636363637</v>
      </c>
      <c r="I882" s="84"/>
      <c r="J882" s="84">
        <v>0</v>
      </c>
      <c r="K882" s="84">
        <v>0</v>
      </c>
      <c r="L882" s="84">
        <v>0</v>
      </c>
      <c r="M882" s="84">
        <v>0</v>
      </c>
      <c r="N882" s="84">
        <v>0</v>
      </c>
    </row>
    <row r="883" spans="1:14" x14ac:dyDescent="0.25">
      <c r="A883" s="74" t="s">
        <v>735</v>
      </c>
      <c r="B883" s="74">
        <v>5461</v>
      </c>
      <c r="C883" t="str">
        <f>VLOOKUP(B883,'Waste Lookups'!$B$1:$C$292,2,FALSE)</f>
        <v>Century House</v>
      </c>
      <c r="D883" s="84">
        <v>1345.0036363636364</v>
      </c>
      <c r="E883" s="84">
        <v>0</v>
      </c>
      <c r="F883" s="84">
        <v>129.02181818181819</v>
      </c>
      <c r="G883" s="84">
        <v>0</v>
      </c>
      <c r="H883" s="84">
        <v>82.472727272727269</v>
      </c>
      <c r="I883" s="84"/>
      <c r="J883" s="84">
        <v>92.40915958199875</v>
      </c>
      <c r="K883" s="84">
        <v>0</v>
      </c>
      <c r="L883" s="84">
        <v>8.8645097036003886</v>
      </c>
      <c r="M883" s="84">
        <v>0</v>
      </c>
      <c r="N883" s="84">
        <v>5.666330714400857</v>
      </c>
    </row>
    <row r="884" spans="1:14" x14ac:dyDescent="0.25">
      <c r="A884" s="74" t="s">
        <v>2514</v>
      </c>
      <c r="B884" s="74">
        <v>5464</v>
      </c>
      <c r="C884" t="e">
        <f>VLOOKUP(B884,'Waste Lookups'!$B$1:$C$292,2,FALSE)</f>
        <v>#N/A</v>
      </c>
      <c r="D884" s="84">
        <v>63.81818181818182</v>
      </c>
      <c r="E884" s="84">
        <v>0</v>
      </c>
      <c r="F884" s="84">
        <v>8.2472727272727262</v>
      </c>
      <c r="G884" s="84">
        <v>0</v>
      </c>
      <c r="H884" s="84">
        <v>49.74545454545455</v>
      </c>
      <c r="I884" s="84"/>
      <c r="J884" s="84">
        <v>40.927995701235893</v>
      </c>
      <c r="K884" s="84">
        <v>0</v>
      </c>
      <c r="L884" s="84">
        <v>5.2891563675443312</v>
      </c>
      <c r="M884" s="84">
        <v>0</v>
      </c>
      <c r="N884" s="84">
        <v>31.902847931219778</v>
      </c>
    </row>
    <row r="885" spans="1:14" x14ac:dyDescent="0.25">
      <c r="A885" s="74" t="s">
        <v>2516</v>
      </c>
      <c r="B885" s="74">
        <v>5468</v>
      </c>
      <c r="C885" t="e">
        <f>VLOOKUP(B885,'Waste Lookups'!$B$1:$C$292,2,FALSE)</f>
        <v>#N/A</v>
      </c>
      <c r="D885" s="84">
        <v>3461.76</v>
      </c>
      <c r="E885" s="84">
        <v>0</v>
      </c>
      <c r="F885" s="84">
        <v>0</v>
      </c>
      <c r="G885" s="84">
        <v>0</v>
      </c>
      <c r="H885" s="84">
        <v>34.036363636363639</v>
      </c>
      <c r="I885" s="84"/>
      <c r="J885" s="84">
        <v>223.47279358897543</v>
      </c>
      <c r="K885" s="84">
        <v>0</v>
      </c>
      <c r="L885" s="84">
        <v>0</v>
      </c>
      <c r="M885" s="84">
        <v>0</v>
      </c>
      <c r="N885" s="84">
        <v>2.1972064110245655</v>
      </c>
    </row>
    <row r="886" spans="1:14" x14ac:dyDescent="0.25">
      <c r="A886" s="74" t="s">
        <v>799</v>
      </c>
      <c r="B886" s="74">
        <v>5469</v>
      </c>
      <c r="C886" t="str">
        <f>VLOOKUP(B886,'Waste Lookups'!$B$1:$C$292,2,FALSE)</f>
        <v>Friars Gate</v>
      </c>
      <c r="D886" s="84">
        <v>645.41454545454542</v>
      </c>
      <c r="E886" s="84">
        <v>0</v>
      </c>
      <c r="F886" s="84">
        <v>0</v>
      </c>
      <c r="G886" s="84">
        <v>0</v>
      </c>
      <c r="H886" s="84">
        <v>479.12727272727273</v>
      </c>
      <c r="I886" s="84"/>
      <c r="J886" s="84">
        <v>175.62428334448938</v>
      </c>
      <c r="K886" s="84">
        <v>0</v>
      </c>
      <c r="L886" s="84">
        <v>0</v>
      </c>
      <c r="M886" s="84">
        <v>0</v>
      </c>
      <c r="N886" s="84">
        <v>130.37571665551062</v>
      </c>
    </row>
    <row r="887" spans="1:14" x14ac:dyDescent="0.25">
      <c r="A887" s="74" t="s">
        <v>2519</v>
      </c>
      <c r="B887" s="74">
        <v>5470</v>
      </c>
      <c r="C887" t="e">
        <f>VLOOKUP(B887,'Waste Lookups'!$B$1:$C$292,2,FALSE)</f>
        <v>#N/A</v>
      </c>
      <c r="D887" s="84">
        <v>4027.647272727273</v>
      </c>
      <c r="E887" s="84">
        <v>0</v>
      </c>
      <c r="F887" s="84">
        <v>1038.109090909091</v>
      </c>
      <c r="G887" s="84">
        <v>303.97090909090906</v>
      </c>
      <c r="H887" s="84">
        <v>145.30909090909088</v>
      </c>
      <c r="I887" s="84"/>
      <c r="J887" s="84">
        <v>155.64216265614337</v>
      </c>
      <c r="K887" s="84">
        <v>0</v>
      </c>
      <c r="L887" s="84">
        <v>40.116110731982324</v>
      </c>
      <c r="M887" s="84">
        <v>11.74648286502685</v>
      </c>
      <c r="N887" s="84">
        <v>5.6152437468474607</v>
      </c>
    </row>
    <row r="888" spans="1:14" x14ac:dyDescent="0.25">
      <c r="A888" s="74" t="s">
        <v>2521</v>
      </c>
      <c r="B888" s="74">
        <v>5473</v>
      </c>
      <c r="C888" t="e">
        <f>VLOOKUP(B888,'Waste Lookups'!$B$1:$C$292,2,FALSE)</f>
        <v>#N/A</v>
      </c>
      <c r="D888" s="84">
        <v>1579.0036363636364</v>
      </c>
      <c r="E888" s="84">
        <v>0</v>
      </c>
      <c r="F888" s="84">
        <v>0</v>
      </c>
      <c r="G888" s="84">
        <v>0</v>
      </c>
      <c r="H888" s="84">
        <v>66.763636363636365</v>
      </c>
      <c r="I888" s="84"/>
      <c r="J888" s="84">
        <v>122.68271360581194</v>
      </c>
      <c r="K888" s="84">
        <v>0</v>
      </c>
      <c r="L888" s="84">
        <v>0</v>
      </c>
      <c r="M888" s="84">
        <v>0</v>
      </c>
      <c r="N888" s="84">
        <v>5.1872863941880665</v>
      </c>
    </row>
    <row r="889" spans="1:14" x14ac:dyDescent="0.25">
      <c r="A889" s="74" t="s">
        <v>2523</v>
      </c>
      <c r="B889" s="74">
        <v>5474</v>
      </c>
      <c r="C889" t="e">
        <f>VLOOKUP(B889,'Waste Lookups'!$B$1:$C$292,2,FALSE)</f>
        <v>#N/A</v>
      </c>
      <c r="D889" s="84">
        <v>278.4218181818182</v>
      </c>
      <c r="E889" s="84">
        <v>190.41818181818184</v>
      </c>
      <c r="F889" s="84">
        <v>95.836363636363629</v>
      </c>
      <c r="G889" s="84">
        <v>0</v>
      </c>
      <c r="H889" s="84">
        <v>32.727272727272727</v>
      </c>
      <c r="I889" s="84"/>
      <c r="J889" s="84">
        <v>0</v>
      </c>
      <c r="K889" s="84">
        <v>0</v>
      </c>
      <c r="L889" s="84">
        <v>0</v>
      </c>
      <c r="M889" s="84">
        <v>0</v>
      </c>
      <c r="N889" s="84">
        <v>0</v>
      </c>
    </row>
    <row r="890" spans="1:14" x14ac:dyDescent="0.25">
      <c r="A890" s="74" t="s">
        <v>2525</v>
      </c>
      <c r="B890" s="74">
        <v>5475</v>
      </c>
      <c r="C890" t="e">
        <f>VLOOKUP(B890,'Waste Lookups'!$B$1:$C$292,2,FALSE)</f>
        <v>#N/A</v>
      </c>
      <c r="D890" s="84">
        <v>0</v>
      </c>
      <c r="E890" s="84">
        <v>0</v>
      </c>
      <c r="F890" s="84">
        <v>22.527272727272727</v>
      </c>
      <c r="G890" s="84">
        <v>0</v>
      </c>
      <c r="H890" s="84">
        <v>0</v>
      </c>
      <c r="I890" s="84"/>
      <c r="J890" s="84">
        <v>0</v>
      </c>
      <c r="K890" s="84">
        <v>0</v>
      </c>
      <c r="L890" s="84">
        <v>0</v>
      </c>
      <c r="M890" s="84">
        <v>0</v>
      </c>
      <c r="N890" s="84">
        <v>0</v>
      </c>
    </row>
    <row r="891" spans="1:14" x14ac:dyDescent="0.25">
      <c r="A891" s="74" t="s">
        <v>2527</v>
      </c>
      <c r="B891" s="74">
        <v>5477</v>
      </c>
      <c r="C891" t="e">
        <f>VLOOKUP(B891,'Waste Lookups'!$B$1:$C$292,2,FALSE)</f>
        <v>#N/A</v>
      </c>
      <c r="D891" s="84">
        <v>1120.8000000000002</v>
      </c>
      <c r="E891" s="84">
        <v>0</v>
      </c>
      <c r="F891" s="84">
        <v>0</v>
      </c>
      <c r="G891" s="84">
        <v>0</v>
      </c>
      <c r="H891" s="84">
        <v>0</v>
      </c>
      <c r="I891" s="84"/>
      <c r="J891" s="84">
        <v>48945.95</v>
      </c>
      <c r="K891" s="84">
        <v>0</v>
      </c>
      <c r="L891" s="84">
        <v>0</v>
      </c>
      <c r="M891" s="84">
        <v>0</v>
      </c>
      <c r="N891" s="84">
        <v>0</v>
      </c>
    </row>
    <row r="892" spans="1:14" x14ac:dyDescent="0.25">
      <c r="A892" s="74" t="s">
        <v>2529</v>
      </c>
      <c r="B892" s="74">
        <v>5478</v>
      </c>
      <c r="C892" t="e">
        <f>VLOOKUP(B892,'Waste Lookups'!$B$1:$C$292,2,FALSE)</f>
        <v>#N/A</v>
      </c>
      <c r="D892" s="84">
        <v>0</v>
      </c>
      <c r="E892" s="84">
        <v>0</v>
      </c>
      <c r="F892" s="84">
        <v>0</v>
      </c>
      <c r="G892" s="84">
        <v>0</v>
      </c>
      <c r="H892" s="84">
        <v>109.96363636363637</v>
      </c>
      <c r="I892" s="84"/>
      <c r="J892" s="84">
        <v>0</v>
      </c>
      <c r="K892" s="84">
        <v>0</v>
      </c>
      <c r="L892" s="84">
        <v>0</v>
      </c>
      <c r="M892" s="84">
        <v>0</v>
      </c>
      <c r="N892" s="84">
        <v>0</v>
      </c>
    </row>
    <row r="893" spans="1:14" x14ac:dyDescent="0.25">
      <c r="A893" s="74" t="s">
        <v>2531</v>
      </c>
      <c r="B893" s="74">
        <v>5479</v>
      </c>
      <c r="C893" t="e">
        <f>VLOOKUP(B893,'Waste Lookups'!$B$1:$C$292,2,FALSE)</f>
        <v>#N/A</v>
      </c>
      <c r="D893" s="84">
        <v>0</v>
      </c>
      <c r="E893" s="84">
        <v>0</v>
      </c>
      <c r="F893" s="84">
        <v>0</v>
      </c>
      <c r="G893" s="84">
        <v>0</v>
      </c>
      <c r="H893" s="84">
        <v>432</v>
      </c>
      <c r="I893" s="84"/>
      <c r="J893" s="84">
        <v>0</v>
      </c>
      <c r="K893" s="84">
        <v>0</v>
      </c>
      <c r="L893" s="84">
        <v>0</v>
      </c>
      <c r="M893" s="84">
        <v>0</v>
      </c>
      <c r="N893" s="84">
        <v>0</v>
      </c>
    </row>
    <row r="894" spans="1:14" x14ac:dyDescent="0.25">
      <c r="A894" s="74" t="s">
        <v>2533</v>
      </c>
      <c r="B894" s="74">
        <v>5480</v>
      </c>
      <c r="C894" t="e">
        <f>VLOOKUP(B894,'Waste Lookups'!$B$1:$C$292,2,FALSE)</f>
        <v>#N/A</v>
      </c>
      <c r="D894" s="84">
        <v>4649.04</v>
      </c>
      <c r="E894" s="84">
        <v>0</v>
      </c>
      <c r="F894" s="84">
        <v>626.91272727272724</v>
      </c>
      <c r="G894" s="84">
        <v>0</v>
      </c>
      <c r="H894" s="84">
        <v>0</v>
      </c>
      <c r="I894" s="84"/>
      <c r="J894" s="84">
        <v>1149.0880292124748</v>
      </c>
      <c r="K894" s="84">
        <v>0</v>
      </c>
      <c r="L894" s="84">
        <v>154.95197078752514</v>
      </c>
      <c r="M894" s="84">
        <v>0</v>
      </c>
      <c r="N894" s="84">
        <v>0</v>
      </c>
    </row>
    <row r="895" spans="1:14" x14ac:dyDescent="0.25">
      <c r="A895" s="74" t="s">
        <v>2535</v>
      </c>
      <c r="B895" s="74">
        <v>5481</v>
      </c>
      <c r="C895" t="e">
        <f>VLOOKUP(B895,'Waste Lookups'!$B$1:$C$292,2,FALSE)</f>
        <v>#N/A</v>
      </c>
      <c r="D895" s="84">
        <v>3332.3563636363633</v>
      </c>
      <c r="E895" s="84">
        <v>0</v>
      </c>
      <c r="F895" s="84">
        <v>0</v>
      </c>
      <c r="G895" s="84">
        <v>0</v>
      </c>
      <c r="H895" s="84">
        <v>187.2</v>
      </c>
      <c r="I895" s="84"/>
      <c r="J895" s="84">
        <v>201.78446225660673</v>
      </c>
      <c r="K895" s="84">
        <v>0</v>
      </c>
      <c r="L895" s="84">
        <v>0</v>
      </c>
      <c r="M895" s="84">
        <v>0</v>
      </c>
      <c r="N895" s="84">
        <v>11.33553774339328</v>
      </c>
    </row>
    <row r="896" spans="1:14" x14ac:dyDescent="0.25">
      <c r="A896" s="74" t="s">
        <v>2537</v>
      </c>
      <c r="B896" s="74">
        <v>5484</v>
      </c>
      <c r="C896" t="e">
        <f>VLOOKUP(B896,'Waste Lookups'!$B$1:$C$292,2,FALSE)</f>
        <v>#N/A</v>
      </c>
      <c r="D896" s="84">
        <v>155.12727272727273</v>
      </c>
      <c r="E896" s="84">
        <v>0</v>
      </c>
      <c r="F896" s="84">
        <v>0</v>
      </c>
      <c r="G896" s="84">
        <v>0</v>
      </c>
      <c r="H896" s="84">
        <v>0</v>
      </c>
      <c r="I896" s="84"/>
      <c r="J896" s="84">
        <v>0</v>
      </c>
      <c r="K896" s="84">
        <v>0</v>
      </c>
      <c r="L896" s="84">
        <v>0</v>
      </c>
      <c r="M896" s="84">
        <v>0</v>
      </c>
      <c r="N896" s="84">
        <v>0</v>
      </c>
    </row>
    <row r="897" spans="1:14" x14ac:dyDescent="0.25">
      <c r="A897" s="74" t="s">
        <v>2539</v>
      </c>
      <c r="B897" s="74">
        <v>5488</v>
      </c>
      <c r="C897" t="e">
        <f>VLOOKUP(B897,'Waste Lookups'!$B$1:$C$292,2,FALSE)</f>
        <v>#N/A</v>
      </c>
      <c r="D897" s="84">
        <v>1183.3418181818181</v>
      </c>
      <c r="E897" s="84">
        <v>0</v>
      </c>
      <c r="F897" s="84">
        <v>0</v>
      </c>
      <c r="G897" s="84">
        <v>0</v>
      </c>
      <c r="H897" s="84">
        <v>0</v>
      </c>
      <c r="I897" s="84"/>
      <c r="J897" s="84">
        <v>91.85</v>
      </c>
      <c r="K897" s="84">
        <v>0</v>
      </c>
      <c r="L897" s="84">
        <v>0</v>
      </c>
      <c r="M897" s="84">
        <v>0</v>
      </c>
      <c r="N897" s="84">
        <v>0</v>
      </c>
    </row>
    <row r="898" spans="1:14" x14ac:dyDescent="0.25">
      <c r="A898" s="74" t="s">
        <v>2541</v>
      </c>
      <c r="B898" s="74">
        <v>5507</v>
      </c>
      <c r="C898" t="e">
        <f>VLOOKUP(B898,'Waste Lookups'!$B$1:$C$292,2,FALSE)</f>
        <v>#N/A</v>
      </c>
      <c r="D898" s="84">
        <v>26272.145454545454</v>
      </c>
      <c r="E898" s="84">
        <v>0</v>
      </c>
      <c r="F898" s="84">
        <v>0</v>
      </c>
      <c r="G898" s="84">
        <v>0</v>
      </c>
      <c r="H898" s="84">
        <v>0</v>
      </c>
      <c r="I898" s="84"/>
      <c r="J898" s="84">
        <v>1043.49</v>
      </c>
      <c r="K898" s="84">
        <v>0</v>
      </c>
      <c r="L898" s="84">
        <v>0</v>
      </c>
      <c r="M898" s="84">
        <v>0</v>
      </c>
      <c r="N898" s="84">
        <v>0</v>
      </c>
    </row>
    <row r="899" spans="1:14" x14ac:dyDescent="0.25">
      <c r="A899" s="74" t="s">
        <v>2543</v>
      </c>
      <c r="B899" s="74">
        <v>5508</v>
      </c>
      <c r="C899" t="e">
        <f>VLOOKUP(B899,'Waste Lookups'!$B$1:$C$292,2,FALSE)</f>
        <v>#N/A</v>
      </c>
      <c r="D899" s="84">
        <v>2729.9890909090905</v>
      </c>
      <c r="E899" s="84">
        <v>0</v>
      </c>
      <c r="F899" s="84">
        <v>0</v>
      </c>
      <c r="G899" s="84">
        <v>0</v>
      </c>
      <c r="H899" s="84">
        <v>0</v>
      </c>
      <c r="I899" s="84"/>
      <c r="J899" s="84">
        <v>303.16000000000003</v>
      </c>
      <c r="K899" s="84">
        <v>0</v>
      </c>
      <c r="L899" s="84">
        <v>0</v>
      </c>
      <c r="M899" s="84">
        <v>0</v>
      </c>
      <c r="N899" s="84">
        <v>0</v>
      </c>
    </row>
    <row r="900" spans="1:14" x14ac:dyDescent="0.25">
      <c r="A900" s="74" t="s">
        <v>2545</v>
      </c>
      <c r="B900" s="74">
        <v>5510</v>
      </c>
      <c r="C900" t="e">
        <f>VLOOKUP(B900,'Waste Lookups'!$B$1:$C$292,2,FALSE)</f>
        <v>#N/A</v>
      </c>
      <c r="D900" s="84">
        <v>8181.807272727272</v>
      </c>
      <c r="E900" s="84">
        <v>0</v>
      </c>
      <c r="F900" s="84">
        <v>0</v>
      </c>
      <c r="G900" s="84">
        <v>0</v>
      </c>
      <c r="H900" s="84">
        <v>0</v>
      </c>
      <c r="I900" s="84"/>
      <c r="J900" s="84">
        <v>0</v>
      </c>
      <c r="K900" s="84">
        <v>0</v>
      </c>
      <c r="L900" s="84">
        <v>0</v>
      </c>
      <c r="M900" s="84">
        <v>0</v>
      </c>
      <c r="N900" s="84">
        <v>0</v>
      </c>
    </row>
    <row r="901" spans="1:14" x14ac:dyDescent="0.25">
      <c r="A901" s="74" t="s">
        <v>2547</v>
      </c>
      <c r="B901" s="74">
        <v>5511</v>
      </c>
      <c r="C901" t="e">
        <f>VLOOKUP(B901,'Waste Lookups'!$B$1:$C$292,2,FALSE)</f>
        <v>#N/A</v>
      </c>
      <c r="D901" s="84">
        <v>27840.065454545453</v>
      </c>
      <c r="E901" s="84">
        <v>0</v>
      </c>
      <c r="F901" s="84">
        <v>0</v>
      </c>
      <c r="G901" s="84">
        <v>0</v>
      </c>
      <c r="H901" s="84">
        <v>0</v>
      </c>
      <c r="I901" s="84"/>
      <c r="J901" s="84">
        <v>1744.56</v>
      </c>
      <c r="K901" s="84">
        <v>0</v>
      </c>
      <c r="L901" s="84">
        <v>0</v>
      </c>
      <c r="M901" s="84">
        <v>0</v>
      </c>
      <c r="N901" s="84">
        <v>0</v>
      </c>
    </row>
    <row r="902" spans="1:14" x14ac:dyDescent="0.25">
      <c r="A902" s="74" t="s">
        <v>2549</v>
      </c>
      <c r="B902" s="74">
        <v>5512</v>
      </c>
      <c r="C902" t="e">
        <f>VLOOKUP(B902,'Waste Lookups'!$B$1:$C$292,2,FALSE)</f>
        <v>#N/A</v>
      </c>
      <c r="D902" s="84">
        <v>49170.687272727271</v>
      </c>
      <c r="E902" s="84">
        <v>0</v>
      </c>
      <c r="F902" s="84">
        <v>0</v>
      </c>
      <c r="G902" s="84">
        <v>0</v>
      </c>
      <c r="H902" s="84">
        <v>0</v>
      </c>
      <c r="I902" s="84"/>
      <c r="J902" s="84">
        <v>2833.36</v>
      </c>
      <c r="K902" s="84">
        <v>0</v>
      </c>
      <c r="L902" s="84">
        <v>0</v>
      </c>
      <c r="M902" s="84">
        <v>0</v>
      </c>
      <c r="N902" s="84">
        <v>0</v>
      </c>
    </row>
    <row r="903" spans="1:14" x14ac:dyDescent="0.25">
      <c r="A903" s="74" t="s">
        <v>2551</v>
      </c>
      <c r="B903" s="74">
        <v>5514</v>
      </c>
      <c r="C903" t="e">
        <f>VLOOKUP(B903,'Waste Lookups'!$B$1:$C$292,2,FALSE)</f>
        <v>#N/A</v>
      </c>
      <c r="D903" s="84">
        <v>8238.8509090909083</v>
      </c>
      <c r="E903" s="84">
        <v>0</v>
      </c>
      <c r="F903" s="84">
        <v>0</v>
      </c>
      <c r="G903" s="84">
        <v>0</v>
      </c>
      <c r="H903" s="84">
        <v>0</v>
      </c>
      <c r="I903" s="84"/>
      <c r="J903" s="84">
        <v>687.42</v>
      </c>
      <c r="K903" s="84">
        <v>0</v>
      </c>
      <c r="L903" s="84">
        <v>0</v>
      </c>
      <c r="M903" s="84">
        <v>0</v>
      </c>
      <c r="N903" s="84">
        <v>0</v>
      </c>
    </row>
    <row r="904" spans="1:14" x14ac:dyDescent="0.25">
      <c r="A904" s="74" t="s">
        <v>2553</v>
      </c>
      <c r="B904" s="74">
        <v>5515</v>
      </c>
      <c r="C904" t="e">
        <f>VLOOKUP(B904,'Waste Lookups'!$B$1:$C$292,2,FALSE)</f>
        <v>#N/A</v>
      </c>
      <c r="D904" s="84">
        <v>40246.37454545455</v>
      </c>
      <c r="E904" s="84">
        <v>0</v>
      </c>
      <c r="F904" s="84">
        <v>0</v>
      </c>
      <c r="G904" s="84">
        <v>0</v>
      </c>
      <c r="H904" s="84">
        <v>0</v>
      </c>
      <c r="I904" s="84"/>
      <c r="J904" s="84">
        <v>380.1</v>
      </c>
      <c r="K904" s="84">
        <v>0</v>
      </c>
      <c r="L904" s="84">
        <v>0</v>
      </c>
      <c r="M904" s="84">
        <v>0</v>
      </c>
      <c r="N904" s="84">
        <v>0</v>
      </c>
    </row>
    <row r="905" spans="1:14" x14ac:dyDescent="0.25">
      <c r="A905" s="74" t="s">
        <v>2555</v>
      </c>
      <c r="B905" s="74">
        <v>5516</v>
      </c>
      <c r="C905" t="e">
        <f>VLOOKUP(B905,'Waste Lookups'!$B$1:$C$292,2,FALSE)</f>
        <v>#N/A</v>
      </c>
      <c r="D905" s="84">
        <v>48031.34181818182</v>
      </c>
      <c r="E905" s="84">
        <v>0</v>
      </c>
      <c r="F905" s="84">
        <v>0</v>
      </c>
      <c r="G905" s="84">
        <v>0</v>
      </c>
      <c r="H905" s="84">
        <v>0</v>
      </c>
      <c r="I905" s="84"/>
      <c r="J905" s="84">
        <v>1548.12</v>
      </c>
      <c r="K905" s="84">
        <v>0</v>
      </c>
      <c r="L905" s="84">
        <v>0</v>
      </c>
      <c r="M905" s="84">
        <v>0</v>
      </c>
      <c r="N905" s="84">
        <v>0</v>
      </c>
    </row>
    <row r="906" spans="1:14" x14ac:dyDescent="0.25">
      <c r="A906" s="74" t="s">
        <v>2557</v>
      </c>
      <c r="B906" s="74">
        <v>5517</v>
      </c>
      <c r="C906" t="e">
        <f>VLOOKUP(B906,'Waste Lookups'!$B$1:$C$292,2,FALSE)</f>
        <v>#N/A</v>
      </c>
      <c r="D906" s="84">
        <v>6990</v>
      </c>
      <c r="E906" s="84">
        <v>693.18545454545449</v>
      </c>
      <c r="F906" s="84">
        <v>0</v>
      </c>
      <c r="G906" s="84">
        <v>0</v>
      </c>
      <c r="H906" s="84">
        <v>0</v>
      </c>
      <c r="I906" s="84"/>
      <c r="J906" s="84">
        <v>1691.3244613029822</v>
      </c>
      <c r="K906" s="84">
        <v>167.7255386970177</v>
      </c>
      <c r="L906" s="84">
        <v>0</v>
      </c>
      <c r="M906" s="84">
        <v>0</v>
      </c>
      <c r="N906" s="84">
        <v>0</v>
      </c>
    </row>
    <row r="907" spans="1:14" x14ac:dyDescent="0.25">
      <c r="A907" s="74" t="s">
        <v>2559</v>
      </c>
      <c r="B907" s="74">
        <v>5518</v>
      </c>
      <c r="C907" t="e">
        <f>VLOOKUP(B907,'Waste Lookups'!$B$1:$C$292,2,FALSE)</f>
        <v>#N/A</v>
      </c>
      <c r="D907" s="84">
        <v>19019.53090909091</v>
      </c>
      <c r="E907" s="84">
        <v>0</v>
      </c>
      <c r="F907" s="84">
        <v>0</v>
      </c>
      <c r="G907" s="84">
        <v>0</v>
      </c>
      <c r="H907" s="84">
        <v>0</v>
      </c>
      <c r="I907" s="84"/>
      <c r="J907" s="84">
        <v>311.08</v>
      </c>
      <c r="K907" s="84">
        <v>0</v>
      </c>
      <c r="L907" s="84">
        <v>0</v>
      </c>
      <c r="M907" s="84">
        <v>0</v>
      </c>
      <c r="N907" s="84">
        <v>0</v>
      </c>
    </row>
    <row r="908" spans="1:14" x14ac:dyDescent="0.25">
      <c r="A908" s="74" t="s">
        <v>2561</v>
      </c>
      <c r="B908" s="74">
        <v>5519</v>
      </c>
      <c r="C908" t="e">
        <f>VLOOKUP(B908,'Waste Lookups'!$B$1:$C$292,2,FALSE)</f>
        <v>#N/A</v>
      </c>
      <c r="D908" s="84">
        <v>37241.585454545457</v>
      </c>
      <c r="E908" s="84">
        <v>0</v>
      </c>
      <c r="F908" s="84">
        <v>0</v>
      </c>
      <c r="G908" s="84">
        <v>0</v>
      </c>
      <c r="H908" s="84">
        <v>0</v>
      </c>
      <c r="I908" s="84"/>
      <c r="J908" s="84">
        <v>4126.1000000000004</v>
      </c>
      <c r="K908" s="84">
        <v>0</v>
      </c>
      <c r="L908" s="84">
        <v>0</v>
      </c>
      <c r="M908" s="84">
        <v>0</v>
      </c>
      <c r="N908" s="84">
        <v>0</v>
      </c>
    </row>
    <row r="909" spans="1:14" x14ac:dyDescent="0.25">
      <c r="A909" s="74" t="s">
        <v>2563</v>
      </c>
      <c r="B909" s="74">
        <v>5521</v>
      </c>
      <c r="C909" t="e">
        <f>VLOOKUP(B909,'Waste Lookups'!$B$1:$C$292,2,FALSE)</f>
        <v>#N/A</v>
      </c>
      <c r="D909" s="84">
        <v>5863.4727272727278</v>
      </c>
      <c r="E909" s="84">
        <v>0</v>
      </c>
      <c r="F909" s="84">
        <v>0</v>
      </c>
      <c r="G909" s="84">
        <v>0</v>
      </c>
      <c r="H909" s="84">
        <v>0</v>
      </c>
      <c r="I909" s="84"/>
      <c r="J909" s="84">
        <v>837.2</v>
      </c>
      <c r="K909" s="84">
        <v>0</v>
      </c>
      <c r="L909" s="84">
        <v>0</v>
      </c>
      <c r="M909" s="84">
        <v>0</v>
      </c>
      <c r="N909" s="84">
        <v>0</v>
      </c>
    </row>
    <row r="910" spans="1:14" x14ac:dyDescent="0.25">
      <c r="A910" s="74" t="s">
        <v>800</v>
      </c>
      <c r="B910" s="74">
        <v>5522</v>
      </c>
      <c r="C910" t="str">
        <f>VLOOKUP(B910,'Waste Lookups'!$B$1:$C$292,2,FALSE)</f>
        <v>Goscote House</v>
      </c>
      <c r="D910" s="84">
        <v>12482.661818181819</v>
      </c>
      <c r="E910" s="84">
        <v>0</v>
      </c>
      <c r="F910" s="84">
        <v>0</v>
      </c>
      <c r="G910" s="84">
        <v>0</v>
      </c>
      <c r="H910" s="84">
        <v>621.81818181818187</v>
      </c>
      <c r="I910" s="84"/>
      <c r="J910" s="84">
        <v>3409.478369157307</v>
      </c>
      <c r="K910" s="84">
        <v>0</v>
      </c>
      <c r="L910" s="84">
        <v>0</v>
      </c>
      <c r="M910" s="84">
        <v>0</v>
      </c>
      <c r="N910" s="84">
        <v>169.84163084269309</v>
      </c>
    </row>
    <row r="911" spans="1:14" x14ac:dyDescent="0.25">
      <c r="A911" s="74" t="s">
        <v>2566</v>
      </c>
      <c r="B911" s="74">
        <v>5524</v>
      </c>
      <c r="C911" t="e">
        <f>VLOOKUP(B911,'Waste Lookups'!$B$1:$C$292,2,FALSE)</f>
        <v>#N/A</v>
      </c>
      <c r="D911" s="84">
        <v>28749.730909090904</v>
      </c>
      <c r="E911" s="84">
        <v>0</v>
      </c>
      <c r="F911" s="84">
        <v>0</v>
      </c>
      <c r="G911" s="84">
        <v>0</v>
      </c>
      <c r="H911" s="84">
        <v>0</v>
      </c>
      <c r="I911" s="84"/>
      <c r="J911" s="84">
        <v>1826.25</v>
      </c>
      <c r="K911" s="84">
        <v>0</v>
      </c>
      <c r="L911" s="84">
        <v>0</v>
      </c>
      <c r="M911" s="84">
        <v>0</v>
      </c>
      <c r="N911" s="84">
        <v>0</v>
      </c>
    </row>
    <row r="912" spans="1:14" x14ac:dyDescent="0.25">
      <c r="A912" s="74" t="s">
        <v>2568</v>
      </c>
      <c r="B912" s="74">
        <v>5525</v>
      </c>
      <c r="C912" t="e">
        <f>VLOOKUP(B912,'Waste Lookups'!$B$1:$C$292,2,FALSE)</f>
        <v>#N/A</v>
      </c>
      <c r="D912" s="84">
        <v>15368.465454545454</v>
      </c>
      <c r="E912" s="84">
        <v>0</v>
      </c>
      <c r="F912" s="84">
        <v>0</v>
      </c>
      <c r="G912" s="84">
        <v>0</v>
      </c>
      <c r="H912" s="84">
        <v>0</v>
      </c>
      <c r="I912" s="84"/>
      <c r="J912" s="84">
        <v>877.24</v>
      </c>
      <c r="K912" s="84">
        <v>0</v>
      </c>
      <c r="L912" s="84">
        <v>0</v>
      </c>
      <c r="M912" s="84">
        <v>0</v>
      </c>
      <c r="N912" s="84">
        <v>0</v>
      </c>
    </row>
    <row r="913" spans="1:14" x14ac:dyDescent="0.25">
      <c r="A913" s="74" t="s">
        <v>2570</v>
      </c>
      <c r="B913" s="74">
        <v>5526</v>
      </c>
      <c r="C913" t="e">
        <f>VLOOKUP(B913,'Waste Lookups'!$B$1:$C$292,2,FALSE)</f>
        <v>#N/A</v>
      </c>
      <c r="D913" s="84">
        <v>737.26909090909101</v>
      </c>
      <c r="E913" s="84">
        <v>0</v>
      </c>
      <c r="F913" s="84">
        <v>0</v>
      </c>
      <c r="G913" s="84">
        <v>0</v>
      </c>
      <c r="H913" s="84">
        <v>0</v>
      </c>
      <c r="I913" s="84"/>
      <c r="J913" s="84">
        <v>397.64</v>
      </c>
      <c r="K913" s="84">
        <v>0</v>
      </c>
      <c r="L913" s="84">
        <v>0</v>
      </c>
      <c r="M913" s="84">
        <v>0</v>
      </c>
      <c r="N913" s="84">
        <v>0</v>
      </c>
    </row>
    <row r="914" spans="1:14" x14ac:dyDescent="0.25">
      <c r="A914" s="74" t="s">
        <v>654</v>
      </c>
      <c r="B914" s="74">
        <v>5527</v>
      </c>
      <c r="C914" t="str">
        <f>VLOOKUP(B914,'Waste Lookups'!$B$1:$C$292,2,FALSE)</f>
        <v>Jubilee House</v>
      </c>
      <c r="D914" s="84">
        <v>26838.032727272723</v>
      </c>
      <c r="E914" s="84">
        <v>0</v>
      </c>
      <c r="F914" s="84">
        <v>0</v>
      </c>
      <c r="G914" s="84">
        <v>0</v>
      </c>
      <c r="H914" s="84">
        <v>1047.2727272727273</v>
      </c>
      <c r="I914" s="84"/>
      <c r="J914" s="84">
        <v>149645.53733872739</v>
      </c>
      <c r="K914" s="84">
        <v>0</v>
      </c>
      <c r="L914" s="84">
        <v>0</v>
      </c>
      <c r="M914" s="84">
        <v>0</v>
      </c>
      <c r="N914" s="84">
        <v>5839.4626612726242</v>
      </c>
    </row>
    <row r="915" spans="1:14" x14ac:dyDescent="0.25">
      <c r="A915" s="74" t="s">
        <v>2573</v>
      </c>
      <c r="B915" s="74">
        <v>5529</v>
      </c>
      <c r="C915" t="e">
        <f>VLOOKUP(B915,'Waste Lookups'!$B$1:$C$292,2,FALSE)</f>
        <v>#N/A</v>
      </c>
      <c r="D915" s="84">
        <v>18924.610909090912</v>
      </c>
      <c r="E915" s="84">
        <v>0</v>
      </c>
      <c r="F915" s="84">
        <v>0</v>
      </c>
      <c r="G915" s="84">
        <v>0</v>
      </c>
      <c r="H915" s="84">
        <v>0</v>
      </c>
      <c r="I915" s="84"/>
      <c r="J915" s="84">
        <v>563.70000000000005</v>
      </c>
      <c r="K915" s="84">
        <v>0</v>
      </c>
      <c r="L915" s="84">
        <v>0</v>
      </c>
      <c r="M915" s="84">
        <v>0</v>
      </c>
      <c r="N915" s="84">
        <v>0</v>
      </c>
    </row>
    <row r="916" spans="1:14" x14ac:dyDescent="0.25">
      <c r="A916" s="74" t="s">
        <v>2575</v>
      </c>
      <c r="B916" s="74">
        <v>5530</v>
      </c>
      <c r="C916" t="e">
        <f>VLOOKUP(B916,'Waste Lookups'!$B$1:$C$292,2,FALSE)</f>
        <v>#N/A</v>
      </c>
      <c r="D916" s="84">
        <v>43811.596363636359</v>
      </c>
      <c r="E916" s="84">
        <v>426.54545454545456</v>
      </c>
      <c r="F916" s="84">
        <v>0</v>
      </c>
      <c r="G916" s="84">
        <v>0</v>
      </c>
      <c r="H916" s="84">
        <v>0</v>
      </c>
      <c r="I916" s="84"/>
      <c r="J916" s="84">
        <v>1999.3445750590049</v>
      </c>
      <c r="K916" s="84">
        <v>19.465424940994975</v>
      </c>
      <c r="L916" s="84">
        <v>0</v>
      </c>
      <c r="M916" s="84">
        <v>0</v>
      </c>
      <c r="N916" s="84">
        <v>0</v>
      </c>
    </row>
    <row r="917" spans="1:14" x14ac:dyDescent="0.25">
      <c r="A917" s="74" t="s">
        <v>2577</v>
      </c>
      <c r="B917" s="74">
        <v>5531</v>
      </c>
      <c r="C917" t="e">
        <f>VLOOKUP(B917,'Waste Lookups'!$B$1:$C$292,2,FALSE)</f>
        <v>#N/A</v>
      </c>
      <c r="D917" s="84">
        <v>7999.9963636363627</v>
      </c>
      <c r="E917" s="84">
        <v>0</v>
      </c>
      <c r="F917" s="84">
        <v>0</v>
      </c>
      <c r="G917" s="84">
        <v>0</v>
      </c>
      <c r="H917" s="84">
        <v>0</v>
      </c>
      <c r="I917" s="84"/>
      <c r="J917" s="84">
        <v>495.72</v>
      </c>
      <c r="K917" s="84">
        <v>0</v>
      </c>
      <c r="L917" s="84">
        <v>0</v>
      </c>
      <c r="M917" s="84">
        <v>0</v>
      </c>
      <c r="N917" s="84">
        <v>0</v>
      </c>
    </row>
    <row r="918" spans="1:14" x14ac:dyDescent="0.25">
      <c r="A918" s="74" t="s">
        <v>2579</v>
      </c>
      <c r="B918" s="74">
        <v>5532</v>
      </c>
      <c r="C918" t="e">
        <f>VLOOKUP(B918,'Waste Lookups'!$B$1:$C$292,2,FALSE)</f>
        <v>#N/A</v>
      </c>
      <c r="D918" s="84">
        <v>21215.989090909094</v>
      </c>
      <c r="E918" s="84">
        <v>0</v>
      </c>
      <c r="F918" s="84">
        <v>0</v>
      </c>
      <c r="G918" s="84">
        <v>0</v>
      </c>
      <c r="H918" s="84">
        <v>0</v>
      </c>
      <c r="I918" s="84"/>
      <c r="J918" s="84">
        <v>1606.08</v>
      </c>
      <c r="K918" s="84">
        <v>0</v>
      </c>
      <c r="L918" s="84">
        <v>0</v>
      </c>
      <c r="M918" s="84">
        <v>0</v>
      </c>
      <c r="N918" s="84">
        <v>0</v>
      </c>
    </row>
    <row r="919" spans="1:14" x14ac:dyDescent="0.25">
      <c r="A919" s="74" t="s">
        <v>2581</v>
      </c>
      <c r="B919" s="74">
        <v>5533</v>
      </c>
      <c r="C919" t="e">
        <f>VLOOKUP(B919,'Waste Lookups'!$B$1:$C$292,2,FALSE)</f>
        <v>#N/A</v>
      </c>
      <c r="D919" s="84">
        <v>1675.0036363636364</v>
      </c>
      <c r="E919" s="84">
        <v>0</v>
      </c>
      <c r="F919" s="84">
        <v>0</v>
      </c>
      <c r="G919" s="84">
        <v>0</v>
      </c>
      <c r="H919" s="84">
        <v>0</v>
      </c>
      <c r="I919" s="84"/>
      <c r="J919" s="84">
        <v>475.28</v>
      </c>
      <c r="K919" s="84">
        <v>0</v>
      </c>
      <c r="L919" s="84">
        <v>0</v>
      </c>
      <c r="M919" s="84">
        <v>0</v>
      </c>
      <c r="N919" s="84">
        <v>0</v>
      </c>
    </row>
    <row r="920" spans="1:14" x14ac:dyDescent="0.25">
      <c r="A920" s="74" t="s">
        <v>2583</v>
      </c>
      <c r="B920" s="74">
        <v>5534</v>
      </c>
      <c r="C920" t="e">
        <f>VLOOKUP(B920,'Waste Lookups'!$B$1:$C$292,2,FALSE)</f>
        <v>#N/A</v>
      </c>
      <c r="D920" s="84">
        <v>32917.930909090908</v>
      </c>
      <c r="E920" s="84">
        <v>0</v>
      </c>
      <c r="F920" s="84">
        <v>0</v>
      </c>
      <c r="G920" s="84">
        <v>0</v>
      </c>
      <c r="H920" s="84">
        <v>0</v>
      </c>
      <c r="I920" s="84"/>
      <c r="J920" s="84">
        <v>1405.82</v>
      </c>
      <c r="K920" s="84">
        <v>0</v>
      </c>
      <c r="L920" s="84">
        <v>0</v>
      </c>
      <c r="M920" s="84">
        <v>0</v>
      </c>
      <c r="N920" s="84">
        <v>0</v>
      </c>
    </row>
    <row r="921" spans="1:14" x14ac:dyDescent="0.25">
      <c r="A921" s="74" t="s">
        <v>2585</v>
      </c>
      <c r="B921" s="74">
        <v>5535</v>
      </c>
      <c r="C921" t="e">
        <f>VLOOKUP(B921,'Waste Lookups'!$B$1:$C$292,2,FALSE)</f>
        <v>#N/A</v>
      </c>
      <c r="D921" s="84">
        <v>165.36</v>
      </c>
      <c r="E921" s="84">
        <v>0</v>
      </c>
      <c r="F921" s="84">
        <v>0</v>
      </c>
      <c r="G921" s="84">
        <v>165.36</v>
      </c>
      <c r="H921" s="84">
        <v>0</v>
      </c>
      <c r="I921" s="84"/>
      <c r="J921" s="84">
        <v>75.790000000000006</v>
      </c>
      <c r="K921" s="84">
        <v>0</v>
      </c>
      <c r="L921" s="84">
        <v>0</v>
      </c>
      <c r="M921" s="84">
        <v>75.790000000000006</v>
      </c>
      <c r="N921" s="84">
        <v>0</v>
      </c>
    </row>
    <row r="922" spans="1:14" x14ac:dyDescent="0.25">
      <c r="A922" s="74" t="s">
        <v>2587</v>
      </c>
      <c r="B922" s="74">
        <v>5536</v>
      </c>
      <c r="C922" t="e">
        <f>VLOOKUP(B922,'Waste Lookups'!$B$1:$C$292,2,FALSE)</f>
        <v>#N/A</v>
      </c>
      <c r="D922" s="84">
        <v>22559.312727272725</v>
      </c>
      <c r="E922" s="84">
        <v>0</v>
      </c>
      <c r="F922" s="84">
        <v>0</v>
      </c>
      <c r="G922" s="84">
        <v>0</v>
      </c>
      <c r="H922" s="84">
        <v>0</v>
      </c>
      <c r="I922" s="84"/>
      <c r="J922" s="84">
        <v>689.26</v>
      </c>
      <c r="K922" s="84">
        <v>0</v>
      </c>
      <c r="L922" s="84">
        <v>0</v>
      </c>
      <c r="M922" s="84">
        <v>0</v>
      </c>
      <c r="N922" s="84">
        <v>0</v>
      </c>
    </row>
    <row r="923" spans="1:14" x14ac:dyDescent="0.25">
      <c r="A923" s="74" t="s">
        <v>2589</v>
      </c>
      <c r="B923" s="74">
        <v>5537</v>
      </c>
      <c r="C923" t="e">
        <f>VLOOKUP(B923,'Waste Lookups'!$B$1:$C$292,2,FALSE)</f>
        <v>#N/A</v>
      </c>
      <c r="D923" s="84">
        <v>9932.3563636363633</v>
      </c>
      <c r="E923" s="84">
        <v>0</v>
      </c>
      <c r="F923" s="84">
        <v>0</v>
      </c>
      <c r="G923" s="84">
        <v>0</v>
      </c>
      <c r="H923" s="84">
        <v>0</v>
      </c>
      <c r="I923" s="84"/>
      <c r="J923" s="84">
        <v>905.89</v>
      </c>
      <c r="K923" s="84">
        <v>0</v>
      </c>
      <c r="L923" s="84">
        <v>0</v>
      </c>
      <c r="M923" s="84">
        <v>0</v>
      </c>
      <c r="N923" s="84">
        <v>0</v>
      </c>
    </row>
    <row r="924" spans="1:14" x14ac:dyDescent="0.25">
      <c r="A924" s="74" t="s">
        <v>2591</v>
      </c>
      <c r="B924" s="74">
        <v>5554</v>
      </c>
      <c r="C924" t="e">
        <f>VLOOKUP(B924,'Waste Lookups'!$B$1:$C$292,2,FALSE)</f>
        <v>#N/A</v>
      </c>
      <c r="D924" s="84">
        <v>6234</v>
      </c>
      <c r="E924" s="84">
        <v>659.0181818181818</v>
      </c>
      <c r="F924" s="84">
        <v>0</v>
      </c>
      <c r="G924" s="84">
        <v>508.32</v>
      </c>
      <c r="H924" s="84">
        <v>0</v>
      </c>
      <c r="I924" s="84"/>
      <c r="J924" s="84">
        <v>1131.3169638119496</v>
      </c>
      <c r="K924" s="84">
        <v>119.59551628992891</v>
      </c>
      <c r="L924" s="84">
        <v>0</v>
      </c>
      <c r="M924" s="84">
        <v>92.247519898121624</v>
      </c>
      <c r="N924" s="84">
        <v>0</v>
      </c>
    </row>
    <row r="925" spans="1:14" x14ac:dyDescent="0.25">
      <c r="A925" s="74" t="s">
        <v>2593</v>
      </c>
      <c r="B925" s="74">
        <v>5555</v>
      </c>
      <c r="C925" t="e">
        <f>VLOOKUP(B925,'Waste Lookups'!$B$1:$C$292,2,FALSE)</f>
        <v>#N/A</v>
      </c>
      <c r="D925" s="84">
        <v>5497.0036363636364</v>
      </c>
      <c r="E925" s="84">
        <v>310.76727272727271</v>
      </c>
      <c r="F925" s="84">
        <v>0</v>
      </c>
      <c r="G925" s="84">
        <v>158.45454545454547</v>
      </c>
      <c r="H925" s="84">
        <v>0</v>
      </c>
      <c r="I925" s="84"/>
      <c r="J925" s="84">
        <v>457.70085579918964</v>
      </c>
      <c r="K925" s="84">
        <v>25.875632633880898</v>
      </c>
      <c r="L925" s="84">
        <v>0</v>
      </c>
      <c r="M925" s="84">
        <v>13.19351156692948</v>
      </c>
      <c r="N925" s="84">
        <v>0</v>
      </c>
    </row>
    <row r="926" spans="1:14" x14ac:dyDescent="0.25">
      <c r="A926" s="74" t="s">
        <v>2595</v>
      </c>
      <c r="B926" s="74">
        <v>5557</v>
      </c>
      <c r="C926" t="e">
        <f>VLOOKUP(B926,'Waste Lookups'!$B$1:$C$292,2,FALSE)</f>
        <v>#N/A</v>
      </c>
      <c r="D926" s="84">
        <v>0</v>
      </c>
      <c r="E926" s="84">
        <v>796.42909090909075</v>
      </c>
      <c r="F926" s="84">
        <v>0</v>
      </c>
      <c r="G926" s="84">
        <v>436.56000000000006</v>
      </c>
      <c r="H926" s="84">
        <v>0</v>
      </c>
      <c r="I926" s="84"/>
      <c r="J926" s="84">
        <v>0</v>
      </c>
      <c r="K926" s="84">
        <v>893.61038929784797</v>
      </c>
      <c r="L926" s="84">
        <v>0</v>
      </c>
      <c r="M926" s="84">
        <v>489.8296107021518</v>
      </c>
      <c r="N926" s="84">
        <v>0</v>
      </c>
    </row>
    <row r="927" spans="1:14" x14ac:dyDescent="0.25">
      <c r="A927" s="74" t="s">
        <v>2597</v>
      </c>
      <c r="B927" s="74">
        <v>5558</v>
      </c>
      <c r="C927" t="e">
        <f>VLOOKUP(B927,'Waste Lookups'!$B$1:$C$292,2,FALSE)</f>
        <v>#N/A</v>
      </c>
      <c r="D927" s="84">
        <v>5175</v>
      </c>
      <c r="E927" s="84">
        <v>630.24</v>
      </c>
      <c r="F927" s="84">
        <v>0</v>
      </c>
      <c r="G927" s="84">
        <v>197.25818181818181</v>
      </c>
      <c r="H927" s="84">
        <v>0</v>
      </c>
      <c r="I927" s="84"/>
      <c r="J927" s="84">
        <v>668.09895289052383</v>
      </c>
      <c r="K927" s="84">
        <v>81.36476986854565</v>
      </c>
      <c r="L927" s="84">
        <v>0</v>
      </c>
      <c r="M927" s="84">
        <v>25.466277240930594</v>
      </c>
      <c r="N927" s="84">
        <v>0</v>
      </c>
    </row>
    <row r="928" spans="1:14" x14ac:dyDescent="0.25">
      <c r="A928" s="74" t="s">
        <v>2599</v>
      </c>
      <c r="B928" s="74">
        <v>5561</v>
      </c>
      <c r="C928" t="e">
        <f>VLOOKUP(B928,'Waste Lookups'!$B$1:$C$292,2,FALSE)</f>
        <v>#N/A</v>
      </c>
      <c r="D928" s="84">
        <v>0</v>
      </c>
      <c r="E928" s="84">
        <v>340.50545454545454</v>
      </c>
      <c r="F928" s="84">
        <v>0</v>
      </c>
      <c r="G928" s="84">
        <v>185.29090909090908</v>
      </c>
      <c r="H928" s="84">
        <v>0</v>
      </c>
      <c r="I928" s="84"/>
      <c r="J928" s="84">
        <v>0</v>
      </c>
      <c r="K928" s="84">
        <v>540.22749076725188</v>
      </c>
      <c r="L928" s="84">
        <v>0</v>
      </c>
      <c r="M928" s="84">
        <v>293.97250923274828</v>
      </c>
      <c r="N928" s="84">
        <v>0</v>
      </c>
    </row>
    <row r="929" spans="1:14" x14ac:dyDescent="0.25">
      <c r="A929" s="74" t="s">
        <v>2601</v>
      </c>
      <c r="B929" s="74">
        <v>5565</v>
      </c>
      <c r="C929" t="e">
        <f>VLOOKUP(B929,'Waste Lookups'!$B$1:$C$292,2,FALSE)</f>
        <v>#N/A</v>
      </c>
      <c r="D929" s="84">
        <v>4401</v>
      </c>
      <c r="E929" s="84">
        <v>301.68</v>
      </c>
      <c r="F929" s="84">
        <v>0</v>
      </c>
      <c r="G929" s="84">
        <v>106.06909090909092</v>
      </c>
      <c r="H929" s="84">
        <v>0</v>
      </c>
      <c r="I929" s="84"/>
      <c r="J929" s="84">
        <v>366.96132957654453</v>
      </c>
      <c r="K929" s="84">
        <v>25.154486231913648</v>
      </c>
      <c r="L929" s="84">
        <v>0</v>
      </c>
      <c r="M929" s="84">
        <v>8.84418419154178</v>
      </c>
      <c r="N929" s="84">
        <v>0</v>
      </c>
    </row>
    <row r="930" spans="1:14" x14ac:dyDescent="0.25">
      <c r="A930" s="74" t="s">
        <v>2603</v>
      </c>
      <c r="B930" s="74">
        <v>5566</v>
      </c>
      <c r="C930" t="e">
        <f>VLOOKUP(B930,'Waste Lookups'!$B$1:$C$292,2,FALSE)</f>
        <v>#N/A</v>
      </c>
      <c r="D930" s="84">
        <v>28297.800000000003</v>
      </c>
      <c r="E930" s="84">
        <v>96.174545454545438</v>
      </c>
      <c r="F930" s="84">
        <v>0</v>
      </c>
      <c r="G930" s="84">
        <v>204.68727272727273</v>
      </c>
      <c r="H930" s="84">
        <v>0</v>
      </c>
      <c r="I930" s="84"/>
      <c r="J930" s="84">
        <v>20942.163210421037</v>
      </c>
      <c r="K930" s="84">
        <v>71.175251348060513</v>
      </c>
      <c r="L930" s="84">
        <v>0</v>
      </c>
      <c r="M930" s="84">
        <v>151.48153823090513</v>
      </c>
      <c r="N930" s="84">
        <v>0</v>
      </c>
    </row>
    <row r="931" spans="1:14" x14ac:dyDescent="0.25">
      <c r="A931" s="74" t="s">
        <v>2605</v>
      </c>
      <c r="B931" s="74">
        <v>5568</v>
      </c>
      <c r="C931" t="e">
        <f>VLOOKUP(B931,'Waste Lookups'!$B$1:$C$292,2,FALSE)</f>
        <v>#N/A</v>
      </c>
      <c r="D931" s="84">
        <v>1818.1745454545458</v>
      </c>
      <c r="E931" s="84">
        <v>0</v>
      </c>
      <c r="F931" s="84">
        <v>0</v>
      </c>
      <c r="G931" s="84">
        <v>0</v>
      </c>
      <c r="H931" s="84">
        <v>0</v>
      </c>
      <c r="I931" s="84"/>
      <c r="J931" s="84">
        <v>0</v>
      </c>
      <c r="K931" s="84">
        <v>0</v>
      </c>
      <c r="L931" s="84">
        <v>0</v>
      </c>
      <c r="M931" s="84">
        <v>0</v>
      </c>
      <c r="N931" s="84">
        <v>0</v>
      </c>
    </row>
    <row r="932" spans="1:14" x14ac:dyDescent="0.25">
      <c r="A932" s="74" t="s">
        <v>2607</v>
      </c>
      <c r="B932" s="74">
        <v>5569</v>
      </c>
      <c r="C932" t="e">
        <f>VLOOKUP(B932,'Waste Lookups'!$B$1:$C$292,2,FALSE)</f>
        <v>#N/A</v>
      </c>
      <c r="D932" s="84">
        <v>70.429090909090917</v>
      </c>
      <c r="E932" s="84">
        <v>0</v>
      </c>
      <c r="F932" s="84">
        <v>0</v>
      </c>
      <c r="G932" s="84">
        <v>0</v>
      </c>
      <c r="H932" s="84">
        <v>0</v>
      </c>
      <c r="I932" s="84"/>
      <c r="J932" s="84">
        <v>468.77</v>
      </c>
      <c r="K932" s="84">
        <v>0</v>
      </c>
      <c r="L932" s="84">
        <v>0</v>
      </c>
      <c r="M932" s="84">
        <v>0</v>
      </c>
      <c r="N932" s="84">
        <v>0</v>
      </c>
    </row>
    <row r="933" spans="1:14" x14ac:dyDescent="0.25">
      <c r="A933" s="74" t="s">
        <v>2609</v>
      </c>
      <c r="B933" s="74">
        <v>5572</v>
      </c>
      <c r="C933" t="e">
        <f>VLOOKUP(B933,'Waste Lookups'!$B$1:$C$292,2,FALSE)</f>
        <v>#N/A</v>
      </c>
      <c r="D933" s="84">
        <v>5784.545454545455</v>
      </c>
      <c r="E933" s="84">
        <v>585.52363636363634</v>
      </c>
      <c r="F933" s="84">
        <v>0</v>
      </c>
      <c r="G933" s="84">
        <v>287.36727272727273</v>
      </c>
      <c r="H933" s="84">
        <v>0</v>
      </c>
      <c r="I933" s="84"/>
      <c r="J933" s="84">
        <v>837.08364399072525</v>
      </c>
      <c r="K933" s="84">
        <v>84.731335075745775</v>
      </c>
      <c r="L933" s="84">
        <v>0</v>
      </c>
      <c r="M933" s="84">
        <v>41.585020933528874</v>
      </c>
      <c r="N933" s="84">
        <v>0</v>
      </c>
    </row>
    <row r="934" spans="1:14" x14ac:dyDescent="0.25">
      <c r="A934" s="74" t="s">
        <v>2611</v>
      </c>
      <c r="B934" s="74">
        <v>5573</v>
      </c>
      <c r="C934" t="e">
        <f>VLOOKUP(B934,'Waste Lookups'!$B$1:$C$292,2,FALSE)</f>
        <v>#N/A</v>
      </c>
      <c r="D934" s="84">
        <v>3772.7236363636362</v>
      </c>
      <c r="E934" s="84">
        <v>485.36727272727273</v>
      </c>
      <c r="F934" s="84">
        <v>0</v>
      </c>
      <c r="G934" s="84">
        <v>204.68727272727273</v>
      </c>
      <c r="H934" s="84">
        <v>0</v>
      </c>
      <c r="I934" s="84"/>
      <c r="J934" s="84">
        <v>549.79000007333377</v>
      </c>
      <c r="K934" s="84">
        <v>70.731412801157703</v>
      </c>
      <c r="L934" s="84">
        <v>0</v>
      </c>
      <c r="M934" s="84">
        <v>29.828587125508449</v>
      </c>
      <c r="N934" s="84">
        <v>0</v>
      </c>
    </row>
    <row r="935" spans="1:14" x14ac:dyDescent="0.25">
      <c r="A935" s="74" t="s">
        <v>2613</v>
      </c>
      <c r="B935" s="74">
        <v>5575</v>
      </c>
      <c r="C935" t="e">
        <f>VLOOKUP(B935,'Waste Lookups'!$B$1:$C$292,2,FALSE)</f>
        <v>#N/A</v>
      </c>
      <c r="D935" s="84">
        <v>2975.4545454545455</v>
      </c>
      <c r="E935" s="84">
        <v>155.5418181818182</v>
      </c>
      <c r="F935" s="84">
        <v>0</v>
      </c>
      <c r="G935" s="84">
        <v>107.68363636363635</v>
      </c>
      <c r="H935" s="84">
        <v>0</v>
      </c>
      <c r="I935" s="84"/>
      <c r="J935" s="84">
        <v>250.70153160041633</v>
      </c>
      <c r="K935" s="84">
        <v>13.105416819647063</v>
      </c>
      <c r="L935" s="84">
        <v>0</v>
      </c>
      <c r="M935" s="84">
        <v>9.0730515799366067</v>
      </c>
      <c r="N935" s="84">
        <v>0</v>
      </c>
    </row>
    <row r="936" spans="1:14" x14ac:dyDescent="0.25">
      <c r="A936" s="74" t="s">
        <v>2615</v>
      </c>
      <c r="B936" s="74">
        <v>5577</v>
      </c>
      <c r="C936" t="e">
        <f>VLOOKUP(B936,'Waste Lookups'!$B$1:$C$292,2,FALSE)</f>
        <v>#N/A</v>
      </c>
      <c r="D936" s="84">
        <v>9654.545454545454</v>
      </c>
      <c r="E936" s="84">
        <v>0</v>
      </c>
      <c r="F936" s="84">
        <v>0</v>
      </c>
      <c r="G936" s="84">
        <v>0</v>
      </c>
      <c r="H936" s="84">
        <v>0</v>
      </c>
      <c r="I936" s="84"/>
      <c r="J936" s="84">
        <v>119.5</v>
      </c>
      <c r="K936" s="84">
        <v>0</v>
      </c>
      <c r="L936" s="84">
        <v>0</v>
      </c>
      <c r="M936" s="84">
        <v>0</v>
      </c>
      <c r="N936" s="84">
        <v>0</v>
      </c>
    </row>
    <row r="937" spans="1:14" x14ac:dyDescent="0.25">
      <c r="A937" s="74" t="s">
        <v>2617</v>
      </c>
      <c r="B937" s="74">
        <v>5579</v>
      </c>
      <c r="C937" t="e">
        <f>VLOOKUP(B937,'Waste Lookups'!$B$1:$C$292,2,FALSE)</f>
        <v>#N/A</v>
      </c>
      <c r="D937" s="84">
        <v>4350</v>
      </c>
      <c r="E937" s="84">
        <v>404.24727272727273</v>
      </c>
      <c r="F937" s="84">
        <v>0</v>
      </c>
      <c r="G937" s="84">
        <v>130.51636363636365</v>
      </c>
      <c r="H937" s="84">
        <v>0</v>
      </c>
      <c r="I937" s="84"/>
      <c r="J937" s="84">
        <v>311.93280032159362</v>
      </c>
      <c r="K937" s="84">
        <v>28.988042253835669</v>
      </c>
      <c r="L937" s="84">
        <v>0</v>
      </c>
      <c r="M937" s="84">
        <v>9.3591574245706504</v>
      </c>
      <c r="N937" s="84">
        <v>0</v>
      </c>
    </row>
    <row r="938" spans="1:14" x14ac:dyDescent="0.25">
      <c r="A938" s="74" t="s">
        <v>2619</v>
      </c>
      <c r="B938" s="74">
        <v>5582</v>
      </c>
      <c r="C938" t="e">
        <f>VLOOKUP(B938,'Waste Lookups'!$B$1:$C$292,2,FALSE)</f>
        <v>#N/A</v>
      </c>
      <c r="D938" s="84">
        <v>5400</v>
      </c>
      <c r="E938" s="84">
        <v>567.73090909090899</v>
      </c>
      <c r="F938" s="84">
        <v>0</v>
      </c>
      <c r="G938" s="84">
        <v>242.31272727272727</v>
      </c>
      <c r="H938" s="84">
        <v>0</v>
      </c>
      <c r="I938" s="84"/>
      <c r="J938" s="84">
        <v>608.70876620981142</v>
      </c>
      <c r="K938" s="84">
        <v>63.996811335537373</v>
      </c>
      <c r="L938" s="84">
        <v>0</v>
      </c>
      <c r="M938" s="84">
        <v>27.314422454651176</v>
      </c>
      <c r="N938" s="84">
        <v>0</v>
      </c>
    </row>
    <row r="939" spans="1:14" x14ac:dyDescent="0.25">
      <c r="A939" s="74" t="s">
        <v>2621</v>
      </c>
      <c r="B939" s="74">
        <v>5584</v>
      </c>
      <c r="C939" t="e">
        <f>VLOOKUP(B939,'Waste Lookups'!$B$1:$C$292,2,FALSE)</f>
        <v>#N/A</v>
      </c>
      <c r="D939" s="84">
        <v>3142.0036363636364</v>
      </c>
      <c r="E939" s="84">
        <v>352.5272727272727</v>
      </c>
      <c r="F939" s="84">
        <v>0</v>
      </c>
      <c r="G939" s="84">
        <v>158.86909090909091</v>
      </c>
      <c r="H939" s="84">
        <v>0</v>
      </c>
      <c r="I939" s="84"/>
      <c r="J939" s="84">
        <v>552.23719685274489</v>
      </c>
      <c r="K939" s="84">
        <v>61.960040609743345</v>
      </c>
      <c r="L939" s="84">
        <v>0</v>
      </c>
      <c r="M939" s="84">
        <v>27.922762537511758</v>
      </c>
      <c r="N939" s="84">
        <v>0</v>
      </c>
    </row>
    <row r="940" spans="1:14" x14ac:dyDescent="0.25">
      <c r="A940" s="74" t="s">
        <v>2623</v>
      </c>
      <c r="B940" s="74">
        <v>5585</v>
      </c>
      <c r="C940" t="e">
        <f>VLOOKUP(B940,'Waste Lookups'!$B$1:$C$292,2,FALSE)</f>
        <v>#N/A</v>
      </c>
      <c r="D940" s="84">
        <v>693.29454545454541</v>
      </c>
      <c r="E940" s="84">
        <v>427.50545454545454</v>
      </c>
      <c r="F940" s="84">
        <v>0</v>
      </c>
      <c r="G940" s="84">
        <v>59.825454545454548</v>
      </c>
      <c r="H940" s="84">
        <v>0</v>
      </c>
      <c r="I940" s="84"/>
      <c r="J940" s="84">
        <v>326.07512714370199</v>
      </c>
      <c r="K940" s="84">
        <v>201.06734772324069</v>
      </c>
      <c r="L940" s="84">
        <v>0</v>
      </c>
      <c r="M940" s="84">
        <v>28.137525133057363</v>
      </c>
      <c r="N940" s="84">
        <v>0</v>
      </c>
    </row>
    <row r="941" spans="1:14" x14ac:dyDescent="0.25">
      <c r="A941" s="74" t="s">
        <v>2625</v>
      </c>
      <c r="B941" s="74">
        <v>5587</v>
      </c>
      <c r="C941" t="e">
        <f>VLOOKUP(B941,'Waste Lookups'!$B$1:$C$292,2,FALSE)</f>
        <v>#N/A</v>
      </c>
      <c r="D941" s="84">
        <v>6093.6327272727276</v>
      </c>
      <c r="E941" s="84">
        <v>660.3054545454545</v>
      </c>
      <c r="F941" s="84">
        <v>0</v>
      </c>
      <c r="G941" s="84">
        <v>312.37090909090904</v>
      </c>
      <c r="H941" s="84">
        <v>0</v>
      </c>
      <c r="I941" s="84"/>
      <c r="J941" s="84">
        <v>864.73023964677463</v>
      </c>
      <c r="K941" s="84">
        <v>93.70208535766389</v>
      </c>
      <c r="L941" s="84">
        <v>0</v>
      </c>
      <c r="M941" s="84">
        <v>44.327674995561516</v>
      </c>
      <c r="N941" s="84">
        <v>0</v>
      </c>
    </row>
    <row r="942" spans="1:14" x14ac:dyDescent="0.25">
      <c r="A942" s="74" t="s">
        <v>2627</v>
      </c>
      <c r="B942" s="74">
        <v>5588</v>
      </c>
      <c r="C942" t="e">
        <f>VLOOKUP(B942,'Waste Lookups'!$B$1:$C$292,2,FALSE)</f>
        <v>#N/A</v>
      </c>
      <c r="D942" s="84">
        <v>3979.9963636363636</v>
      </c>
      <c r="E942" s="84">
        <v>207.13090909090909</v>
      </c>
      <c r="F942" s="84">
        <v>0</v>
      </c>
      <c r="G942" s="84">
        <v>106.65818181818182</v>
      </c>
      <c r="H942" s="84">
        <v>0</v>
      </c>
      <c r="I942" s="84"/>
      <c r="J942" s="84">
        <v>350.06994237760961</v>
      </c>
      <c r="K942" s="84">
        <v>18.218686346694714</v>
      </c>
      <c r="L942" s="84">
        <v>0</v>
      </c>
      <c r="M942" s="84">
        <v>9.3813712756956988</v>
      </c>
      <c r="N942" s="84">
        <v>0</v>
      </c>
    </row>
    <row r="943" spans="1:14" x14ac:dyDescent="0.25">
      <c r="A943" s="74" t="s">
        <v>2629</v>
      </c>
      <c r="B943" s="74">
        <v>5589</v>
      </c>
      <c r="C943" t="e">
        <f>VLOOKUP(B943,'Waste Lookups'!$B$1:$C$292,2,FALSE)</f>
        <v>#N/A</v>
      </c>
      <c r="D943" s="84">
        <v>3595.4509090909091</v>
      </c>
      <c r="E943" s="84">
        <v>297.86181818181819</v>
      </c>
      <c r="F943" s="84">
        <v>0</v>
      </c>
      <c r="G943" s="84">
        <v>139.30909090909091</v>
      </c>
      <c r="H943" s="84">
        <v>0</v>
      </c>
      <c r="I943" s="84"/>
      <c r="J943" s="84">
        <v>405.7810753211761</v>
      </c>
      <c r="K943" s="84">
        <v>33.616559350965893</v>
      </c>
      <c r="L943" s="84">
        <v>0</v>
      </c>
      <c r="M943" s="84">
        <v>15.722365327857986</v>
      </c>
      <c r="N943" s="84">
        <v>0</v>
      </c>
    </row>
    <row r="944" spans="1:14" x14ac:dyDescent="0.25">
      <c r="A944" s="74" t="s">
        <v>2631</v>
      </c>
      <c r="B944" s="74">
        <v>5590</v>
      </c>
      <c r="C944" t="e">
        <f>VLOOKUP(B944,'Waste Lookups'!$B$1:$C$292,2,FALSE)</f>
        <v>#N/A</v>
      </c>
      <c r="D944" s="84">
        <v>587.26909090909101</v>
      </c>
      <c r="E944" s="84">
        <v>467.58545454545458</v>
      </c>
      <c r="F944" s="84">
        <v>0</v>
      </c>
      <c r="G944" s="84">
        <v>95.716363636363624</v>
      </c>
      <c r="H944" s="84">
        <v>0</v>
      </c>
      <c r="I944" s="84"/>
      <c r="J944" s="84">
        <v>214.70112658695919</v>
      </c>
      <c r="K944" s="84">
        <v>170.94569665020052</v>
      </c>
      <c r="L944" s="84">
        <v>0</v>
      </c>
      <c r="M944" s="84">
        <v>34.993176762840257</v>
      </c>
      <c r="N944" s="84">
        <v>0</v>
      </c>
    </row>
    <row r="945" spans="1:14" x14ac:dyDescent="0.25">
      <c r="A945" s="74" t="s">
        <v>664</v>
      </c>
      <c r="B945" s="74">
        <v>5608</v>
      </c>
      <c r="C945" t="str">
        <f>VLOOKUP(B945,'Waste Lookups'!$B$1:$C$292,2,FALSE)</f>
        <v>Cardinal Square</v>
      </c>
      <c r="D945" s="84">
        <v>0</v>
      </c>
      <c r="E945" s="84">
        <v>0</v>
      </c>
      <c r="F945" s="84">
        <v>0</v>
      </c>
      <c r="G945" s="84">
        <v>0</v>
      </c>
      <c r="H945" s="84">
        <v>2481.2399999999998</v>
      </c>
      <c r="I945" s="84"/>
      <c r="J945" s="84">
        <v>0</v>
      </c>
      <c r="K945" s="84">
        <v>0</v>
      </c>
      <c r="L945" s="84">
        <v>0</v>
      </c>
      <c r="M945" s="84">
        <v>0</v>
      </c>
      <c r="N945" s="84">
        <v>9761.51</v>
      </c>
    </row>
    <row r="946" spans="1:14" x14ac:dyDescent="0.25">
      <c r="A946" s="74" t="s">
        <v>2634</v>
      </c>
      <c r="B946" s="74">
        <v>5611</v>
      </c>
      <c r="C946" t="e">
        <f>VLOOKUP(B946,'Waste Lookups'!$B$1:$C$292,2,FALSE)</f>
        <v>#N/A</v>
      </c>
      <c r="D946" s="84">
        <v>1024.1454545454546</v>
      </c>
      <c r="E946" s="84">
        <v>0</v>
      </c>
      <c r="F946" s="84">
        <v>0</v>
      </c>
      <c r="G946" s="84">
        <v>272.85818181818183</v>
      </c>
      <c r="H946" s="84">
        <v>0</v>
      </c>
      <c r="I946" s="84"/>
      <c r="J946" s="84">
        <v>3549.3528681492448</v>
      </c>
      <c r="K946" s="84">
        <v>0</v>
      </c>
      <c r="L946" s="84">
        <v>0</v>
      </c>
      <c r="M946" s="84">
        <v>945.6371318507554</v>
      </c>
      <c r="N946" s="84">
        <v>0</v>
      </c>
    </row>
    <row r="947" spans="1:14" x14ac:dyDescent="0.25">
      <c r="A947" s="74" t="s">
        <v>2636</v>
      </c>
      <c r="B947" s="74">
        <v>5612</v>
      </c>
      <c r="C947" t="e">
        <f>VLOOKUP(B947,'Waste Lookups'!$B$1:$C$292,2,FALSE)</f>
        <v>#N/A</v>
      </c>
      <c r="D947" s="84">
        <v>1018.3854545454544</v>
      </c>
      <c r="E947" s="84">
        <v>0</v>
      </c>
      <c r="F947" s="84">
        <v>0</v>
      </c>
      <c r="G947" s="84">
        <v>497.88</v>
      </c>
      <c r="H947" s="84">
        <v>0</v>
      </c>
      <c r="I947" s="84"/>
      <c r="J947" s="84">
        <v>4630.1157375657422</v>
      </c>
      <c r="K947" s="84">
        <v>0</v>
      </c>
      <c r="L947" s="84">
        <v>0</v>
      </c>
      <c r="M947" s="84">
        <v>2263.6242624342585</v>
      </c>
      <c r="N947" s="84">
        <v>0</v>
      </c>
    </row>
    <row r="948" spans="1:14" x14ac:dyDescent="0.25">
      <c r="A948" s="74" t="s">
        <v>2638</v>
      </c>
      <c r="B948" s="74">
        <v>5613</v>
      </c>
      <c r="C948" t="e">
        <f>VLOOKUP(B948,'Waste Lookups'!$B$1:$C$292,2,FALSE)</f>
        <v>#N/A</v>
      </c>
      <c r="D948" s="84">
        <v>0</v>
      </c>
      <c r="E948" s="84">
        <v>0</v>
      </c>
      <c r="F948" s="84">
        <v>0</v>
      </c>
      <c r="G948" s="84">
        <v>487.72363636363633</v>
      </c>
      <c r="H948" s="84">
        <v>0</v>
      </c>
      <c r="I948" s="84"/>
      <c r="J948" s="84">
        <v>0</v>
      </c>
      <c r="K948" s="84">
        <v>0</v>
      </c>
      <c r="L948" s="84">
        <v>0</v>
      </c>
      <c r="M948" s="84">
        <v>8136.32</v>
      </c>
      <c r="N948" s="84">
        <v>0</v>
      </c>
    </row>
    <row r="949" spans="1:14" x14ac:dyDescent="0.25">
      <c r="A949" s="74" t="s">
        <v>2640</v>
      </c>
      <c r="B949" s="74">
        <v>5614</v>
      </c>
      <c r="C949" t="e">
        <f>VLOOKUP(B949,'Waste Lookups'!$B$1:$C$292,2,FALSE)</f>
        <v>#N/A</v>
      </c>
      <c r="D949" s="84">
        <v>718.34181818181821</v>
      </c>
      <c r="E949" s="84">
        <v>0</v>
      </c>
      <c r="F949" s="84">
        <v>0</v>
      </c>
      <c r="G949" s="84">
        <v>85.429090909090917</v>
      </c>
      <c r="H949" s="84">
        <v>0</v>
      </c>
      <c r="I949" s="84"/>
      <c r="J949" s="84">
        <v>3709.4876792573195</v>
      </c>
      <c r="K949" s="84">
        <v>0</v>
      </c>
      <c r="L949" s="84">
        <v>0</v>
      </c>
      <c r="M949" s="84">
        <v>441.15232074268113</v>
      </c>
      <c r="N949" s="84">
        <v>0</v>
      </c>
    </row>
    <row r="950" spans="1:14" x14ac:dyDescent="0.25">
      <c r="A950" s="74" t="s">
        <v>2642</v>
      </c>
      <c r="B950" s="74">
        <v>5618</v>
      </c>
      <c r="C950" t="e">
        <f>VLOOKUP(B950,'Waste Lookups'!$B$1:$C$292,2,FALSE)</f>
        <v>#N/A</v>
      </c>
      <c r="D950" s="84">
        <v>1257.48</v>
      </c>
      <c r="E950" s="84">
        <v>0</v>
      </c>
      <c r="F950" s="84">
        <v>0</v>
      </c>
      <c r="G950" s="84">
        <v>766.41818181818178</v>
      </c>
      <c r="H950" s="84">
        <v>0</v>
      </c>
      <c r="I950" s="84"/>
      <c r="J950" s="84">
        <v>6306.032697225156</v>
      </c>
      <c r="K950" s="84">
        <v>0</v>
      </c>
      <c r="L950" s="84">
        <v>0</v>
      </c>
      <c r="M950" s="84">
        <v>3843.4473027748427</v>
      </c>
      <c r="N950" s="84">
        <v>0</v>
      </c>
    </row>
    <row r="951" spans="1:14" x14ac:dyDescent="0.25">
      <c r="A951" s="74" t="s">
        <v>783</v>
      </c>
      <c r="B951" s="74">
        <v>5619</v>
      </c>
      <c r="C951" t="str">
        <f>VLOOKUP(B951,'Waste Lookups'!$B$1:$C$292,2,FALSE)</f>
        <v>Crescent View</v>
      </c>
      <c r="D951" s="84">
        <v>300.51272727272732</v>
      </c>
      <c r="E951" s="84">
        <v>0</v>
      </c>
      <c r="F951" s="84">
        <v>0</v>
      </c>
      <c r="G951" s="84">
        <v>0</v>
      </c>
      <c r="H951" s="84">
        <v>0</v>
      </c>
      <c r="I951" s="84"/>
      <c r="J951" s="84">
        <v>269.51</v>
      </c>
      <c r="K951" s="84">
        <v>0</v>
      </c>
      <c r="L951" s="84">
        <v>0</v>
      </c>
      <c r="M951" s="84">
        <v>0</v>
      </c>
      <c r="N951" s="84">
        <v>0</v>
      </c>
    </row>
    <row r="952" spans="1:14" x14ac:dyDescent="0.25">
      <c r="A952" s="74" t="s">
        <v>2645</v>
      </c>
      <c r="B952" s="74">
        <v>5631</v>
      </c>
      <c r="C952" t="e">
        <f>VLOOKUP(B952,'Waste Lookups'!$B$1:$C$292,2,FALSE)</f>
        <v>#N/A</v>
      </c>
      <c r="D952" s="84">
        <v>1774.0581818181818</v>
      </c>
      <c r="E952" s="84">
        <v>0</v>
      </c>
      <c r="F952" s="84">
        <v>2964.3927272727274</v>
      </c>
      <c r="G952" s="84">
        <v>453.75272727272727</v>
      </c>
      <c r="H952" s="84">
        <v>0</v>
      </c>
      <c r="I952" s="84"/>
      <c r="J952" s="84">
        <v>39.128885769993609</v>
      </c>
      <c r="K952" s="84">
        <v>0</v>
      </c>
      <c r="L952" s="84">
        <v>65.383077957441088</v>
      </c>
      <c r="M952" s="84">
        <v>10.008036272565301</v>
      </c>
      <c r="N952" s="84">
        <v>0</v>
      </c>
    </row>
    <row r="953" spans="1:14" x14ac:dyDescent="0.25">
      <c r="A953" s="74" t="s">
        <v>665</v>
      </c>
      <c r="B953" s="74">
        <v>5638</v>
      </c>
      <c r="C953" t="str">
        <f>VLOOKUP(B953,'Waste Lookups'!$B$1:$C$292,2,FALSE)</f>
        <v>Scarsdale</v>
      </c>
      <c r="D953" s="84">
        <v>1899.1418181818185</v>
      </c>
      <c r="E953" s="84">
        <v>240.54545454545456</v>
      </c>
      <c r="F953" s="84">
        <v>0</v>
      </c>
      <c r="G953" s="84">
        <v>498.66545454545451</v>
      </c>
      <c r="H953" s="84">
        <v>0</v>
      </c>
      <c r="I953" s="84"/>
      <c r="J953" s="84">
        <v>1617.7690066115636</v>
      </c>
      <c r="K953" s="84">
        <v>204.90675173351968</v>
      </c>
      <c r="L953" s="84">
        <v>0</v>
      </c>
      <c r="M953" s="84">
        <v>424.78424165491685</v>
      </c>
      <c r="N953" s="84">
        <v>0</v>
      </c>
    </row>
    <row r="954" spans="1:14" x14ac:dyDescent="0.25">
      <c r="A954" s="74" t="s">
        <v>2648</v>
      </c>
      <c r="B954" s="74">
        <v>5643</v>
      </c>
      <c r="C954" t="e">
        <f>VLOOKUP(B954,'Waste Lookups'!$B$1:$C$292,2,FALSE)</f>
        <v>#N/A</v>
      </c>
      <c r="D954" s="84">
        <v>0</v>
      </c>
      <c r="E954" s="84">
        <v>170.61818181818182</v>
      </c>
      <c r="F954" s="84">
        <v>0</v>
      </c>
      <c r="G954" s="84">
        <v>38.683636363636367</v>
      </c>
      <c r="H954" s="84">
        <v>0</v>
      </c>
      <c r="I954" s="84"/>
      <c r="J954" s="84">
        <v>0</v>
      </c>
      <c r="K954" s="84">
        <v>0</v>
      </c>
      <c r="L954" s="84">
        <v>0</v>
      </c>
      <c r="M954" s="84">
        <v>0</v>
      </c>
      <c r="N954" s="84">
        <v>0</v>
      </c>
    </row>
    <row r="955" spans="1:14" x14ac:dyDescent="0.25">
      <c r="A955" s="74" t="s">
        <v>784</v>
      </c>
      <c r="B955" s="74">
        <v>5644</v>
      </c>
      <c r="C955" t="str">
        <f>VLOOKUP(B955,'Waste Lookups'!$B$1:$C$292,2,FALSE)</f>
        <v>Toll Bar House</v>
      </c>
      <c r="D955" s="84">
        <v>679.93090909090904</v>
      </c>
      <c r="E955" s="84">
        <v>67.74545454545455</v>
      </c>
      <c r="F955" s="84">
        <v>0</v>
      </c>
      <c r="G955" s="84">
        <v>399.38181818181818</v>
      </c>
      <c r="H955" s="84">
        <v>0</v>
      </c>
      <c r="I955" s="84"/>
      <c r="J955" s="84">
        <v>385.03951030462116</v>
      </c>
      <c r="K955" s="84">
        <v>38.363716511170082</v>
      </c>
      <c r="L955" s="84">
        <v>0</v>
      </c>
      <c r="M955" s="84">
        <v>226.16677318420881</v>
      </c>
      <c r="N955" s="84">
        <v>0</v>
      </c>
    </row>
    <row r="956" spans="1:14" x14ac:dyDescent="0.25">
      <c r="A956" s="74" t="s">
        <v>2651</v>
      </c>
      <c r="B956" s="74">
        <v>5645</v>
      </c>
      <c r="C956" t="e">
        <f>VLOOKUP(B956,'Waste Lookups'!$B$1:$C$292,2,FALSE)</f>
        <v>#N/A</v>
      </c>
      <c r="D956" s="84">
        <v>857.06181818181813</v>
      </c>
      <c r="E956" s="84">
        <v>80.181818181818187</v>
      </c>
      <c r="F956" s="84">
        <v>490.97454545454548</v>
      </c>
      <c r="G956" s="84">
        <v>0</v>
      </c>
      <c r="H956" s="84">
        <v>0</v>
      </c>
      <c r="I956" s="84"/>
      <c r="J956" s="84">
        <v>0</v>
      </c>
      <c r="K956" s="84">
        <v>0</v>
      </c>
      <c r="L956" s="84">
        <v>0</v>
      </c>
      <c r="M956" s="84">
        <v>0</v>
      </c>
      <c r="N956" s="84">
        <v>0</v>
      </c>
    </row>
    <row r="957" spans="1:14" x14ac:dyDescent="0.25">
      <c r="A957" s="74" t="s">
        <v>2653</v>
      </c>
      <c r="B957" s="74">
        <v>5646</v>
      </c>
      <c r="C957" t="e">
        <f>VLOOKUP(B957,'Waste Lookups'!$B$1:$C$292,2,FALSE)</f>
        <v>#N/A</v>
      </c>
      <c r="D957" s="84">
        <v>834.5454545454545</v>
      </c>
      <c r="E957" s="84">
        <v>0</v>
      </c>
      <c r="F957" s="84">
        <v>2878.56</v>
      </c>
      <c r="G957" s="84">
        <v>0</v>
      </c>
      <c r="H957" s="84">
        <v>0</v>
      </c>
      <c r="I957" s="84"/>
      <c r="J957" s="84">
        <v>927.90592828938088</v>
      </c>
      <c r="K957" s="84">
        <v>0</v>
      </c>
      <c r="L957" s="84">
        <v>3200.5840717106189</v>
      </c>
      <c r="M957" s="84">
        <v>0</v>
      </c>
      <c r="N957" s="84">
        <v>0</v>
      </c>
    </row>
    <row r="958" spans="1:14" x14ac:dyDescent="0.25">
      <c r="A958" s="74" t="s">
        <v>2655</v>
      </c>
      <c r="B958" s="74">
        <v>5647</v>
      </c>
      <c r="C958" t="e">
        <f>VLOOKUP(B958,'Waste Lookups'!$B$1:$C$292,2,FALSE)</f>
        <v>#N/A</v>
      </c>
      <c r="D958" s="84">
        <v>0</v>
      </c>
      <c r="E958" s="84">
        <v>0</v>
      </c>
      <c r="F958" s="84">
        <v>0</v>
      </c>
      <c r="G958" s="84">
        <v>0</v>
      </c>
      <c r="H958" s="84">
        <v>0</v>
      </c>
      <c r="I958" s="84"/>
      <c r="J958" s="84">
        <v>0</v>
      </c>
      <c r="K958" s="84">
        <v>0</v>
      </c>
      <c r="L958" s="84">
        <v>0</v>
      </c>
      <c r="M958" s="84">
        <v>0</v>
      </c>
      <c r="N958" s="84">
        <v>0</v>
      </c>
    </row>
    <row r="959" spans="1:14" x14ac:dyDescent="0.25">
      <c r="A959" s="74" t="s">
        <v>2657</v>
      </c>
      <c r="B959" s="74">
        <v>5648</v>
      </c>
      <c r="C959" t="e">
        <f>VLOOKUP(B959,'Waste Lookups'!$B$1:$C$292,2,FALSE)</f>
        <v>#N/A</v>
      </c>
      <c r="D959" s="84">
        <v>0</v>
      </c>
      <c r="E959" s="84">
        <v>0</v>
      </c>
      <c r="F959" s="84">
        <v>9919.8327272727274</v>
      </c>
      <c r="G959" s="84">
        <v>0</v>
      </c>
      <c r="H959" s="84">
        <v>0</v>
      </c>
      <c r="I959" s="84"/>
      <c r="J959" s="84">
        <v>0</v>
      </c>
      <c r="K959" s="84">
        <v>0</v>
      </c>
      <c r="L959" s="84">
        <v>5645.47</v>
      </c>
      <c r="M959" s="84">
        <v>0</v>
      </c>
      <c r="N959" s="84">
        <v>0</v>
      </c>
    </row>
    <row r="960" spans="1:14" x14ac:dyDescent="0.25">
      <c r="A960" s="74" t="s">
        <v>2659</v>
      </c>
      <c r="B960" s="74">
        <v>5649</v>
      </c>
      <c r="C960" t="e">
        <f>VLOOKUP(B960,'Waste Lookups'!$B$1:$C$292,2,FALSE)</f>
        <v>#N/A</v>
      </c>
      <c r="D960" s="84">
        <v>49.985454545454544</v>
      </c>
      <c r="E960" s="84">
        <v>0</v>
      </c>
      <c r="F960" s="84">
        <v>0</v>
      </c>
      <c r="G960" s="84">
        <v>26.814545454545453</v>
      </c>
      <c r="H960" s="84">
        <v>0</v>
      </c>
      <c r="I960" s="84"/>
      <c r="J960" s="84">
        <v>572.70444034090906</v>
      </c>
      <c r="K960" s="84">
        <v>0</v>
      </c>
      <c r="L960" s="84">
        <v>0</v>
      </c>
      <c r="M960" s="84">
        <v>307.22555965909089</v>
      </c>
      <c r="N960" s="84">
        <v>0</v>
      </c>
    </row>
    <row r="961" spans="1:14" x14ac:dyDescent="0.25">
      <c r="A961" s="74" t="s">
        <v>2661</v>
      </c>
      <c r="B961" s="74">
        <v>5650</v>
      </c>
      <c r="C961" t="e">
        <f>VLOOKUP(B961,'Waste Lookups'!$B$1:$C$292,2,FALSE)</f>
        <v>#N/A</v>
      </c>
      <c r="D961" s="84">
        <v>933.31636363636358</v>
      </c>
      <c r="E961" s="84">
        <v>0</v>
      </c>
      <c r="F961" s="84">
        <v>419.10545454545456</v>
      </c>
      <c r="G961" s="84">
        <v>244.77818181818182</v>
      </c>
      <c r="H961" s="84">
        <v>0</v>
      </c>
      <c r="I961" s="84"/>
      <c r="J961" s="84">
        <v>737.60158172255979</v>
      </c>
      <c r="K961" s="84">
        <v>0</v>
      </c>
      <c r="L961" s="84">
        <v>331.21978594358308</v>
      </c>
      <c r="M961" s="84">
        <v>193.44863233385698</v>
      </c>
      <c r="N961" s="84">
        <v>0</v>
      </c>
    </row>
    <row r="962" spans="1:14" x14ac:dyDescent="0.25">
      <c r="A962" s="74" t="s">
        <v>666</v>
      </c>
      <c r="B962" s="74">
        <v>5652</v>
      </c>
      <c r="C962" t="str">
        <f>VLOOKUP(B962,'Waste Lookups'!$B$1:$C$292,2,FALSE)</f>
        <v>Birch House</v>
      </c>
      <c r="D962" s="84">
        <v>223.37454545454545</v>
      </c>
      <c r="E962" s="84">
        <v>0</v>
      </c>
      <c r="F962" s="84">
        <v>0</v>
      </c>
      <c r="G962" s="84">
        <v>153.29454545454547</v>
      </c>
      <c r="H962" s="84">
        <v>7925.8363636363638</v>
      </c>
      <c r="I962" s="84"/>
      <c r="J962" s="84">
        <v>340.717994752077</v>
      </c>
      <c r="K962" s="84">
        <v>0</v>
      </c>
      <c r="L962" s="84">
        <v>0</v>
      </c>
      <c r="M962" s="84">
        <v>233.82346465404308</v>
      </c>
      <c r="N962" s="84">
        <v>12089.448540593879</v>
      </c>
    </row>
    <row r="963" spans="1:14" x14ac:dyDescent="0.25">
      <c r="A963" s="74" t="s">
        <v>2664</v>
      </c>
      <c r="B963" s="74">
        <v>5653</v>
      </c>
      <c r="C963" t="e">
        <f>VLOOKUP(B963,'Waste Lookups'!$B$1:$C$292,2,FALSE)</f>
        <v>#N/A</v>
      </c>
      <c r="D963" s="84">
        <v>46.603636363636362</v>
      </c>
      <c r="E963" s="84">
        <v>0</v>
      </c>
      <c r="F963" s="84">
        <v>0</v>
      </c>
      <c r="G963" s="84">
        <v>29.301818181818184</v>
      </c>
      <c r="H963" s="84">
        <v>0</v>
      </c>
      <c r="I963" s="84"/>
      <c r="J963" s="84">
        <v>670.8845070422534</v>
      </c>
      <c r="K963" s="84">
        <v>0</v>
      </c>
      <c r="L963" s="84">
        <v>0</v>
      </c>
      <c r="M963" s="84">
        <v>421.81549295774653</v>
      </c>
      <c r="N963" s="84">
        <v>0</v>
      </c>
    </row>
    <row r="964" spans="1:14" x14ac:dyDescent="0.25">
      <c r="A964" s="74" t="s">
        <v>2666</v>
      </c>
      <c r="B964" s="74">
        <v>5654</v>
      </c>
      <c r="C964" t="e">
        <f>VLOOKUP(B964,'Waste Lookups'!$B$1:$C$292,2,FALSE)</f>
        <v>#N/A</v>
      </c>
      <c r="D964" s="84">
        <v>0</v>
      </c>
      <c r="E964" s="84">
        <v>0</v>
      </c>
      <c r="F964" s="84">
        <v>0</v>
      </c>
      <c r="G964" s="84">
        <v>30.196363636363635</v>
      </c>
      <c r="H964" s="84">
        <v>1347.0109090909091</v>
      </c>
      <c r="I964" s="84"/>
      <c r="J964" s="84">
        <v>0</v>
      </c>
      <c r="K964" s="84">
        <v>0</v>
      </c>
      <c r="L964" s="84">
        <v>0</v>
      </c>
      <c r="M964" s="84">
        <v>49.305849624536613</v>
      </c>
      <c r="N964" s="84">
        <v>2199.4541503754635</v>
      </c>
    </row>
    <row r="965" spans="1:14" x14ac:dyDescent="0.25">
      <c r="A965" s="74" t="s">
        <v>2668</v>
      </c>
      <c r="B965" s="74">
        <v>5655</v>
      </c>
      <c r="C965" t="e">
        <f>VLOOKUP(B965,'Waste Lookups'!$B$1:$C$292,2,FALSE)</f>
        <v>#N/A</v>
      </c>
      <c r="D965" s="84">
        <v>242.55272727272728</v>
      </c>
      <c r="E965" s="84">
        <v>0</v>
      </c>
      <c r="F965" s="84">
        <v>2037.6545454545453</v>
      </c>
      <c r="G965" s="84">
        <v>146.72727272727272</v>
      </c>
      <c r="H965" s="84">
        <v>0</v>
      </c>
      <c r="I965" s="84"/>
      <c r="J965" s="84">
        <v>89.412123756568349</v>
      </c>
      <c r="K965" s="84">
        <v>0</v>
      </c>
      <c r="L965" s="84">
        <v>751.13985499103251</v>
      </c>
      <c r="M965" s="84">
        <v>54.088021252399216</v>
      </c>
      <c r="N965" s="84">
        <v>0</v>
      </c>
    </row>
    <row r="966" spans="1:14" x14ac:dyDescent="0.25">
      <c r="A966" s="74" t="s">
        <v>2670</v>
      </c>
      <c r="B966" s="74">
        <v>5656</v>
      </c>
      <c r="C966" t="e">
        <f>VLOOKUP(B966,'Waste Lookups'!$B$1:$C$292,2,FALSE)</f>
        <v>#N/A</v>
      </c>
      <c r="D966" s="84">
        <v>0</v>
      </c>
      <c r="E966" s="84">
        <v>209.25818181818181</v>
      </c>
      <c r="F966" s="84">
        <v>0</v>
      </c>
      <c r="G966" s="84">
        <v>0</v>
      </c>
      <c r="H966" s="84">
        <v>0</v>
      </c>
      <c r="I966" s="84"/>
      <c r="J966" s="84">
        <v>0</v>
      </c>
      <c r="K966" s="84">
        <v>0</v>
      </c>
      <c r="L966" s="84">
        <v>0</v>
      </c>
      <c r="M966" s="84">
        <v>0</v>
      </c>
      <c r="N966" s="84">
        <v>0</v>
      </c>
    </row>
    <row r="967" spans="1:14" x14ac:dyDescent="0.25">
      <c r="A967" s="74" t="s">
        <v>2672</v>
      </c>
      <c r="B967" s="74">
        <v>5658</v>
      </c>
      <c r="C967" t="e">
        <f>VLOOKUP(B967,'Waste Lookups'!$B$1:$C$292,2,FALSE)</f>
        <v>#N/A</v>
      </c>
      <c r="D967" s="84">
        <v>432.73090909090911</v>
      </c>
      <c r="E967" s="84">
        <v>0</v>
      </c>
      <c r="F967" s="84">
        <v>3839.454545454545</v>
      </c>
      <c r="G967" s="84">
        <v>144</v>
      </c>
      <c r="H967" s="84">
        <v>0</v>
      </c>
      <c r="I967" s="84"/>
      <c r="J967" s="84">
        <v>72.422550683395229</v>
      </c>
      <c r="K967" s="84">
        <v>0</v>
      </c>
      <c r="L967" s="84">
        <v>642.57737446796943</v>
      </c>
      <c r="M967" s="84">
        <v>24.100074848635309</v>
      </c>
      <c r="N967" s="84">
        <v>0</v>
      </c>
    </row>
    <row r="968" spans="1:14" x14ac:dyDescent="0.25">
      <c r="A968" s="74" t="s">
        <v>2674</v>
      </c>
      <c r="B968" s="74">
        <v>5660</v>
      </c>
      <c r="C968" t="e">
        <f>VLOOKUP(B968,'Waste Lookups'!$B$1:$C$292,2,FALSE)</f>
        <v>#N/A</v>
      </c>
      <c r="D968" s="84">
        <v>518.76</v>
      </c>
      <c r="E968" s="84">
        <v>0</v>
      </c>
      <c r="F968" s="84">
        <v>1325.8472727272726</v>
      </c>
      <c r="G968" s="84">
        <v>289.76727272727271</v>
      </c>
      <c r="H968" s="84">
        <v>0</v>
      </c>
      <c r="I968" s="84"/>
      <c r="J968" s="84">
        <v>734.13290246408155</v>
      </c>
      <c r="K968" s="84">
        <v>0</v>
      </c>
      <c r="L968" s="84">
        <v>1876.297529785179</v>
      </c>
      <c r="M968" s="84">
        <v>410.06956775073991</v>
      </c>
      <c r="N968" s="84">
        <v>0</v>
      </c>
    </row>
    <row r="969" spans="1:14" x14ac:dyDescent="0.25">
      <c r="A969" s="74" t="s">
        <v>2676</v>
      </c>
      <c r="B969" s="74">
        <v>5661</v>
      </c>
      <c r="C969" t="e">
        <f>VLOOKUP(B969,'Waste Lookups'!$B$1:$C$292,2,FALSE)</f>
        <v>#N/A</v>
      </c>
      <c r="D969" s="84">
        <v>434.01818181818186</v>
      </c>
      <c r="E969" s="84">
        <v>0</v>
      </c>
      <c r="F969" s="84">
        <v>1918.9963636363636</v>
      </c>
      <c r="G969" s="84">
        <v>144.4581818181818</v>
      </c>
      <c r="H969" s="84">
        <v>0</v>
      </c>
      <c r="I969" s="84"/>
      <c r="J969" s="84">
        <v>537.67402494157739</v>
      </c>
      <c r="K969" s="84">
        <v>0</v>
      </c>
      <c r="L969" s="84">
        <v>2377.3070850678141</v>
      </c>
      <c r="M969" s="84">
        <v>178.95888999060867</v>
      </c>
      <c r="N969" s="84">
        <v>0</v>
      </c>
    </row>
    <row r="970" spans="1:14" x14ac:dyDescent="0.25">
      <c r="A970" s="74" t="s">
        <v>2678</v>
      </c>
      <c r="B970" s="74">
        <v>5662</v>
      </c>
      <c r="C970" t="e">
        <f>VLOOKUP(B970,'Waste Lookups'!$B$1:$C$292,2,FALSE)</f>
        <v>#N/A</v>
      </c>
      <c r="D970" s="84">
        <v>170.43272727272725</v>
      </c>
      <c r="E970" s="84">
        <v>0</v>
      </c>
      <c r="F970" s="84">
        <v>2718.3709090909092</v>
      </c>
      <c r="G970" s="84">
        <v>113.84727272727272</v>
      </c>
      <c r="H970" s="84">
        <v>0</v>
      </c>
      <c r="I970" s="84"/>
      <c r="J970" s="84">
        <v>129.9980178969129</v>
      </c>
      <c r="K970" s="84">
        <v>0</v>
      </c>
      <c r="L970" s="84">
        <v>2073.4446707818183</v>
      </c>
      <c r="M970" s="84">
        <v>86.837311321268842</v>
      </c>
      <c r="N970" s="84">
        <v>0</v>
      </c>
    </row>
    <row r="971" spans="1:14" x14ac:dyDescent="0.25">
      <c r="A971" s="74" t="s">
        <v>787</v>
      </c>
      <c r="B971" s="74">
        <v>5663</v>
      </c>
      <c r="C971" t="str">
        <f>VLOOKUP(B971,'Waste Lookups'!$B$1:$C$292,2,FALSE)</f>
        <v>Easthorpe House</v>
      </c>
      <c r="D971" s="84">
        <v>369.25090909090909</v>
      </c>
      <c r="E971" s="84">
        <v>0</v>
      </c>
      <c r="F971" s="84">
        <v>25.058181818181815</v>
      </c>
      <c r="G971" s="84">
        <v>34.243636363636362</v>
      </c>
      <c r="H971" s="84">
        <v>2487.2727272727275</v>
      </c>
      <c r="I971" s="84"/>
      <c r="J971" s="84">
        <v>428.34023226231272</v>
      </c>
      <c r="K971" s="84">
        <v>0</v>
      </c>
      <c r="L971" s="84">
        <v>29.068113729216858</v>
      </c>
      <c r="M971" s="84">
        <v>39.723469306056472</v>
      </c>
      <c r="N971" s="84">
        <v>2885.2981847024139</v>
      </c>
    </row>
    <row r="972" spans="1:14" x14ac:dyDescent="0.25">
      <c r="A972" s="74" t="s">
        <v>2681</v>
      </c>
      <c r="B972" s="74">
        <v>5664</v>
      </c>
      <c r="C972" t="e">
        <f>VLOOKUP(B972,'Waste Lookups'!$B$1:$C$292,2,FALSE)</f>
        <v>#N/A</v>
      </c>
      <c r="D972" s="84">
        <v>215.21454545454543</v>
      </c>
      <c r="E972" s="84">
        <v>0</v>
      </c>
      <c r="F972" s="84">
        <v>1305.3599999999999</v>
      </c>
      <c r="G972" s="84">
        <v>154.35272727272729</v>
      </c>
      <c r="H972" s="84">
        <v>0</v>
      </c>
      <c r="I972" s="84"/>
      <c r="J972" s="84">
        <v>312.70939082293933</v>
      </c>
      <c r="K972" s="84">
        <v>0</v>
      </c>
      <c r="L972" s="84">
        <v>1896.7041913570195</v>
      </c>
      <c r="M972" s="84">
        <v>224.27641782004105</v>
      </c>
      <c r="N972" s="84">
        <v>0</v>
      </c>
    </row>
    <row r="973" spans="1:14" x14ac:dyDescent="0.25">
      <c r="A973" s="74" t="s">
        <v>2683</v>
      </c>
      <c r="B973" s="74">
        <v>5665</v>
      </c>
      <c r="C973" t="e">
        <f>VLOOKUP(B973,'Waste Lookups'!$B$1:$C$292,2,FALSE)</f>
        <v>#N/A</v>
      </c>
      <c r="D973" s="84">
        <v>242.00727272727272</v>
      </c>
      <c r="E973" s="84">
        <v>0</v>
      </c>
      <c r="F973" s="84">
        <v>1668.3054545454547</v>
      </c>
      <c r="G973" s="84">
        <v>147.84</v>
      </c>
      <c r="H973" s="84">
        <v>0</v>
      </c>
      <c r="I973" s="84"/>
      <c r="J973" s="84">
        <v>307.12300767502006</v>
      </c>
      <c r="K973" s="84">
        <v>0</v>
      </c>
      <c r="L973" s="84">
        <v>2117.188393334181</v>
      </c>
      <c r="M973" s="84">
        <v>187.6185989907984</v>
      </c>
      <c r="N973" s="84">
        <v>0</v>
      </c>
    </row>
    <row r="974" spans="1:14" x14ac:dyDescent="0.25">
      <c r="A974" s="74" t="s">
        <v>782</v>
      </c>
      <c r="B974" s="74">
        <v>5666</v>
      </c>
      <c r="C974" t="str">
        <f>VLOOKUP(B974,'Waste Lookups'!$B$1:$C$292,2,FALSE)</f>
        <v>Hawthorn House</v>
      </c>
      <c r="D974" s="84">
        <v>81.218181818181819</v>
      </c>
      <c r="E974" s="84">
        <v>0</v>
      </c>
      <c r="F974" s="84">
        <v>0</v>
      </c>
      <c r="G974" s="84">
        <v>0</v>
      </c>
      <c r="H974" s="84">
        <v>3675.6436363636367</v>
      </c>
      <c r="I974" s="84"/>
      <c r="J974" s="84">
        <v>83.906202178413892</v>
      </c>
      <c r="K974" s="84">
        <v>0</v>
      </c>
      <c r="L974" s="84">
        <v>0</v>
      </c>
      <c r="M974" s="84">
        <v>0</v>
      </c>
      <c r="N974" s="84">
        <v>3797.2937978215864</v>
      </c>
    </row>
    <row r="975" spans="1:14" x14ac:dyDescent="0.25">
      <c r="A975" s="74" t="s">
        <v>2686</v>
      </c>
      <c r="B975" s="74">
        <v>5667</v>
      </c>
      <c r="C975" t="e">
        <f>VLOOKUP(B975,'Waste Lookups'!$B$1:$C$292,2,FALSE)</f>
        <v>#N/A</v>
      </c>
      <c r="D975" s="84">
        <v>765.33818181818174</v>
      </c>
      <c r="E975" s="84">
        <v>0</v>
      </c>
      <c r="F975" s="84">
        <v>4125.403636363636</v>
      </c>
      <c r="G975" s="84">
        <v>408.40363636363634</v>
      </c>
      <c r="H975" s="84">
        <v>0</v>
      </c>
      <c r="I975" s="84"/>
      <c r="J975" s="84">
        <v>714.09912758489361</v>
      </c>
      <c r="K975" s="84">
        <v>0</v>
      </c>
      <c r="L975" s="84">
        <v>3849.2096796533237</v>
      </c>
      <c r="M975" s="84">
        <v>381.06119276178327</v>
      </c>
      <c r="N975" s="84">
        <v>0</v>
      </c>
    </row>
    <row r="976" spans="1:14" x14ac:dyDescent="0.25">
      <c r="A976" s="74" t="s">
        <v>2688</v>
      </c>
      <c r="B976" s="74">
        <v>5668</v>
      </c>
      <c r="C976" t="e">
        <f>VLOOKUP(B976,'Waste Lookups'!$B$1:$C$292,2,FALSE)</f>
        <v>#N/A</v>
      </c>
      <c r="D976" s="84">
        <v>264.50181818181818</v>
      </c>
      <c r="E976" s="84">
        <v>0</v>
      </c>
      <c r="F976" s="84">
        <v>0</v>
      </c>
      <c r="G976" s="84">
        <v>146.25818181818181</v>
      </c>
      <c r="H976" s="84">
        <v>0</v>
      </c>
      <c r="I976" s="84"/>
      <c r="J976" s="84">
        <v>612.12891562425307</v>
      </c>
      <c r="K976" s="84">
        <v>0</v>
      </c>
      <c r="L976" s="84">
        <v>0</v>
      </c>
      <c r="M976" s="84">
        <v>338.48108437574695</v>
      </c>
      <c r="N976" s="84">
        <v>0</v>
      </c>
    </row>
    <row r="977" spans="1:14" x14ac:dyDescent="0.25">
      <c r="A977" s="74" t="s">
        <v>2690</v>
      </c>
      <c r="B977" s="74">
        <v>5671</v>
      </c>
      <c r="C977" t="e">
        <f>VLOOKUP(B977,'Waste Lookups'!$B$1:$C$292,2,FALSE)</f>
        <v>#N/A</v>
      </c>
      <c r="D977" s="84">
        <v>0</v>
      </c>
      <c r="E977" s="84">
        <v>0</v>
      </c>
      <c r="F977" s="84">
        <v>81.927272727272722</v>
      </c>
      <c r="G977" s="84">
        <v>28.06909090909091</v>
      </c>
      <c r="H977" s="84">
        <v>0</v>
      </c>
      <c r="I977" s="84"/>
      <c r="J977" s="84">
        <v>0</v>
      </c>
      <c r="K977" s="84">
        <v>0</v>
      </c>
      <c r="L977" s="84">
        <v>897.86321531290287</v>
      </c>
      <c r="M977" s="84">
        <v>307.61678468709709</v>
      </c>
      <c r="N977" s="84">
        <v>0</v>
      </c>
    </row>
    <row r="978" spans="1:14" x14ac:dyDescent="0.25">
      <c r="A978" s="74" t="s">
        <v>2692</v>
      </c>
      <c r="B978" s="74">
        <v>5672</v>
      </c>
      <c r="C978" t="e">
        <f>VLOOKUP(B978,'Waste Lookups'!$B$1:$C$292,2,FALSE)</f>
        <v>#N/A</v>
      </c>
      <c r="D978" s="84">
        <v>142.3309090909091</v>
      </c>
      <c r="E978" s="84">
        <v>0</v>
      </c>
      <c r="F978" s="84">
        <v>714.63272727272727</v>
      </c>
      <c r="G978" s="84">
        <v>126.29454545454544</v>
      </c>
      <c r="H978" s="84">
        <v>0</v>
      </c>
      <c r="I978" s="84"/>
      <c r="J978" s="84">
        <v>202.81533417654106</v>
      </c>
      <c r="K978" s="84">
        <v>0</v>
      </c>
      <c r="L978" s="84">
        <v>1018.3204500066568</v>
      </c>
      <c r="M978" s="84">
        <v>179.96421581680198</v>
      </c>
      <c r="N978" s="84">
        <v>0</v>
      </c>
    </row>
    <row r="979" spans="1:14" x14ac:dyDescent="0.25">
      <c r="A979" s="74" t="s">
        <v>2694</v>
      </c>
      <c r="B979" s="74">
        <v>5673</v>
      </c>
      <c r="C979" t="e">
        <f>VLOOKUP(B979,'Waste Lookups'!$B$1:$C$292,2,FALSE)</f>
        <v>#N/A</v>
      </c>
      <c r="D979" s="84">
        <v>3130.3854545454546</v>
      </c>
      <c r="E979" s="84">
        <v>0</v>
      </c>
      <c r="F979" s="84">
        <v>20206.581818181818</v>
      </c>
      <c r="G979" s="84">
        <v>2641.1127272727272</v>
      </c>
      <c r="H979" s="84">
        <v>0</v>
      </c>
      <c r="I979" s="84"/>
      <c r="J979" s="84">
        <v>3751.8068675745089</v>
      </c>
      <c r="K979" s="84">
        <v>0</v>
      </c>
      <c r="L979" s="84">
        <v>24217.845864821418</v>
      </c>
      <c r="M979" s="84">
        <v>3165.4072676040719</v>
      </c>
      <c r="N979" s="84">
        <v>0</v>
      </c>
    </row>
    <row r="980" spans="1:14" x14ac:dyDescent="0.25">
      <c r="A980" s="74" t="s">
        <v>2696</v>
      </c>
      <c r="B980" s="74">
        <v>5674</v>
      </c>
      <c r="C980" t="e">
        <f>VLOOKUP(B980,'Waste Lookups'!$B$1:$C$292,2,FALSE)</f>
        <v>#N/A</v>
      </c>
      <c r="D980" s="84">
        <v>680.02909090909088</v>
      </c>
      <c r="E980" s="84">
        <v>0</v>
      </c>
      <c r="F980" s="84">
        <v>1671.9709090909091</v>
      </c>
      <c r="G980" s="84">
        <v>258.5781818181818</v>
      </c>
      <c r="H980" s="84">
        <v>0</v>
      </c>
      <c r="I980" s="84"/>
      <c r="J980" s="84">
        <v>1006.2618293962048</v>
      </c>
      <c r="K980" s="84">
        <v>0</v>
      </c>
      <c r="L980" s="84">
        <v>2474.0713716083796</v>
      </c>
      <c r="M980" s="84">
        <v>382.62679899541587</v>
      </c>
      <c r="N980" s="84">
        <v>0</v>
      </c>
    </row>
    <row r="981" spans="1:14" x14ac:dyDescent="0.25">
      <c r="A981" s="74" t="s">
        <v>2698</v>
      </c>
      <c r="B981" s="74">
        <v>5675</v>
      </c>
      <c r="C981" t="e">
        <f>VLOOKUP(B981,'Waste Lookups'!$B$1:$C$292,2,FALSE)</f>
        <v>#N/A</v>
      </c>
      <c r="D981" s="84">
        <v>183.77454545454546</v>
      </c>
      <c r="E981" s="84">
        <v>0</v>
      </c>
      <c r="F981" s="84">
        <v>5545.5272727272722</v>
      </c>
      <c r="G981" s="84">
        <v>1139.1054545454547</v>
      </c>
      <c r="H981" s="84">
        <v>0</v>
      </c>
      <c r="I981" s="84"/>
      <c r="J981" s="84">
        <v>217.02893558490737</v>
      </c>
      <c r="K981" s="84">
        <v>0</v>
      </c>
      <c r="L981" s="84">
        <v>6549.0020844848505</v>
      </c>
      <c r="M981" s="84">
        <v>1345.2289799302423</v>
      </c>
      <c r="N981" s="84">
        <v>0</v>
      </c>
    </row>
    <row r="982" spans="1:14" x14ac:dyDescent="0.25">
      <c r="A982" s="74" t="s">
        <v>2700</v>
      </c>
      <c r="B982" s="74">
        <v>5676</v>
      </c>
      <c r="C982" t="e">
        <f>VLOOKUP(B982,'Waste Lookups'!$B$1:$C$292,2,FALSE)</f>
        <v>#N/A</v>
      </c>
      <c r="D982" s="84">
        <v>242.7381818181818</v>
      </c>
      <c r="E982" s="84">
        <v>0</v>
      </c>
      <c r="F982" s="84">
        <v>1927.8327272727274</v>
      </c>
      <c r="G982" s="84">
        <v>183.16363636363636</v>
      </c>
      <c r="H982" s="84">
        <v>0</v>
      </c>
      <c r="I982" s="84"/>
      <c r="J982" s="84">
        <v>239.81606978156185</v>
      </c>
      <c r="K982" s="84">
        <v>0</v>
      </c>
      <c r="L982" s="84">
        <v>1904.6252401985553</v>
      </c>
      <c r="M982" s="84">
        <v>180.95869001988333</v>
      </c>
      <c r="N982" s="84">
        <v>0</v>
      </c>
    </row>
    <row r="983" spans="1:14" x14ac:dyDescent="0.25">
      <c r="A983" s="74" t="s">
        <v>2702</v>
      </c>
      <c r="B983" s="74">
        <v>5677</v>
      </c>
      <c r="C983" t="e">
        <f>VLOOKUP(B983,'Waste Lookups'!$B$1:$C$292,2,FALSE)</f>
        <v>#N/A</v>
      </c>
      <c r="D983" s="84">
        <v>160.71272727272728</v>
      </c>
      <c r="E983" s="84">
        <v>0</v>
      </c>
      <c r="F983" s="84">
        <v>0</v>
      </c>
      <c r="G983" s="84">
        <v>124.54909090909091</v>
      </c>
      <c r="H983" s="84">
        <v>0</v>
      </c>
      <c r="I983" s="84"/>
      <c r="J983" s="84">
        <v>389.59320203449465</v>
      </c>
      <c r="K983" s="84">
        <v>0</v>
      </c>
      <c r="L983" s="84">
        <v>0</v>
      </c>
      <c r="M983" s="84">
        <v>301.92679796550539</v>
      </c>
      <c r="N983" s="84">
        <v>0</v>
      </c>
    </row>
    <row r="984" spans="1:14" x14ac:dyDescent="0.25">
      <c r="A984" s="74" t="s">
        <v>2704</v>
      </c>
      <c r="B984" s="74">
        <v>5678</v>
      </c>
      <c r="C984" t="e">
        <f>VLOOKUP(B984,'Waste Lookups'!$B$1:$C$292,2,FALSE)</f>
        <v>#N/A</v>
      </c>
      <c r="D984" s="84">
        <v>234.25090909090909</v>
      </c>
      <c r="E984" s="84">
        <v>0</v>
      </c>
      <c r="F984" s="84">
        <v>0</v>
      </c>
      <c r="G984" s="84">
        <v>41.847272727272724</v>
      </c>
      <c r="H984" s="84">
        <v>0</v>
      </c>
      <c r="I984" s="84"/>
      <c r="J984" s="84">
        <v>2693.9456161839657</v>
      </c>
      <c r="K984" s="84">
        <v>0</v>
      </c>
      <c r="L984" s="84">
        <v>0</v>
      </c>
      <c r="M984" s="84">
        <v>481.25438381603368</v>
      </c>
      <c r="N984" s="84">
        <v>0</v>
      </c>
    </row>
    <row r="985" spans="1:14" x14ac:dyDescent="0.25">
      <c r="A985" s="74" t="s">
        <v>2706</v>
      </c>
      <c r="B985" s="74">
        <v>5679</v>
      </c>
      <c r="C985" t="e">
        <f>VLOOKUP(B985,'Waste Lookups'!$B$1:$C$292,2,FALSE)</f>
        <v>#N/A</v>
      </c>
      <c r="D985" s="84">
        <v>746.02909090909088</v>
      </c>
      <c r="E985" s="84">
        <v>0</v>
      </c>
      <c r="F985" s="84">
        <v>2258.3672727272728</v>
      </c>
      <c r="G985" s="84">
        <v>267.74181818181819</v>
      </c>
      <c r="H985" s="84">
        <v>0</v>
      </c>
      <c r="I985" s="84"/>
      <c r="J985" s="84">
        <v>1514.3705401638963</v>
      </c>
      <c r="K985" s="84">
        <v>0</v>
      </c>
      <c r="L985" s="84">
        <v>4584.2781580017745</v>
      </c>
      <c r="M985" s="84">
        <v>543.49130183433022</v>
      </c>
      <c r="N985" s="84">
        <v>0</v>
      </c>
    </row>
    <row r="986" spans="1:14" x14ac:dyDescent="0.25">
      <c r="A986" s="74" t="s">
        <v>2708</v>
      </c>
      <c r="B986" s="74">
        <v>5680</v>
      </c>
      <c r="C986" t="e">
        <f>VLOOKUP(B986,'Waste Lookups'!$B$1:$C$292,2,FALSE)</f>
        <v>#N/A</v>
      </c>
      <c r="D986" s="84">
        <v>48.109090909090909</v>
      </c>
      <c r="E986" s="84">
        <v>0</v>
      </c>
      <c r="F986" s="84">
        <v>0</v>
      </c>
      <c r="G986" s="84">
        <v>56.432727272727263</v>
      </c>
      <c r="H986" s="84">
        <v>0</v>
      </c>
      <c r="I986" s="84"/>
      <c r="J986" s="84">
        <v>1305.8257121986853</v>
      </c>
      <c r="K986" s="84">
        <v>0</v>
      </c>
      <c r="L986" s="84">
        <v>0</v>
      </c>
      <c r="M986" s="84">
        <v>1531.7542878013146</v>
      </c>
      <c r="N986" s="84">
        <v>0</v>
      </c>
    </row>
    <row r="987" spans="1:14" x14ac:dyDescent="0.25">
      <c r="A987" s="74" t="s">
        <v>2710</v>
      </c>
      <c r="B987" s="74">
        <v>5681</v>
      </c>
      <c r="C987" t="e">
        <f>VLOOKUP(B987,'Waste Lookups'!$B$1:$C$292,2,FALSE)</f>
        <v>#N/A</v>
      </c>
      <c r="D987" s="84">
        <v>214.02545454545455</v>
      </c>
      <c r="E987" s="84">
        <v>0</v>
      </c>
      <c r="F987" s="84">
        <v>481.09090909090912</v>
      </c>
      <c r="G987" s="84">
        <v>135.78545454545454</v>
      </c>
      <c r="H987" s="84">
        <v>0</v>
      </c>
      <c r="I987" s="84"/>
      <c r="J987" s="84">
        <v>309.99750951868288</v>
      </c>
      <c r="K987" s="84">
        <v>0</v>
      </c>
      <c r="L987" s="84">
        <v>696.81890869941969</v>
      </c>
      <c r="M987" s="84">
        <v>196.67358178189741</v>
      </c>
      <c r="N987" s="84">
        <v>0</v>
      </c>
    </row>
    <row r="988" spans="1:14" x14ac:dyDescent="0.25">
      <c r="A988" s="74" t="s">
        <v>2712</v>
      </c>
      <c r="B988" s="74">
        <v>5684</v>
      </c>
      <c r="C988" t="e">
        <f>VLOOKUP(B988,'Waste Lookups'!$B$1:$C$292,2,FALSE)</f>
        <v>#N/A</v>
      </c>
      <c r="D988" s="84">
        <v>279.3054545454545</v>
      </c>
      <c r="E988" s="84">
        <v>0</v>
      </c>
      <c r="F988" s="84">
        <v>0</v>
      </c>
      <c r="G988" s="84">
        <v>425.81454545454545</v>
      </c>
      <c r="H988" s="84">
        <v>0</v>
      </c>
      <c r="I988" s="84"/>
      <c r="J988" s="84">
        <v>2097.2824443034838</v>
      </c>
      <c r="K988" s="84">
        <v>0</v>
      </c>
      <c r="L988" s="84">
        <v>0</v>
      </c>
      <c r="M988" s="84">
        <v>3197.4075556965158</v>
      </c>
      <c r="N988" s="84">
        <v>0</v>
      </c>
    </row>
    <row r="989" spans="1:14" x14ac:dyDescent="0.25">
      <c r="A989" s="74" t="s">
        <v>2714</v>
      </c>
      <c r="B989" s="74">
        <v>5687</v>
      </c>
      <c r="C989" t="e">
        <f>VLOOKUP(B989,'Waste Lookups'!$B$1:$C$292,2,FALSE)</f>
        <v>#N/A</v>
      </c>
      <c r="D989" s="84">
        <v>34.450909090909086</v>
      </c>
      <c r="E989" s="84">
        <v>0</v>
      </c>
      <c r="F989" s="84">
        <v>0</v>
      </c>
      <c r="G989" s="84">
        <v>51.098181818181828</v>
      </c>
      <c r="H989" s="84">
        <v>0</v>
      </c>
      <c r="I989" s="84"/>
      <c r="J989" s="84">
        <v>513.61193318031098</v>
      </c>
      <c r="K989" s="84">
        <v>0</v>
      </c>
      <c r="L989" s="84">
        <v>0</v>
      </c>
      <c r="M989" s="84">
        <v>761.79806681968887</v>
      </c>
      <c r="N989" s="84">
        <v>0</v>
      </c>
    </row>
    <row r="990" spans="1:14" x14ac:dyDescent="0.25">
      <c r="A990" s="74" t="s">
        <v>2716</v>
      </c>
      <c r="B990" s="74">
        <v>5688</v>
      </c>
      <c r="C990" t="e">
        <f>VLOOKUP(B990,'Waste Lookups'!$B$1:$C$292,2,FALSE)</f>
        <v>#N/A</v>
      </c>
      <c r="D990" s="84">
        <v>766.46181818181822</v>
      </c>
      <c r="E990" s="84">
        <v>0</v>
      </c>
      <c r="F990" s="84">
        <v>1983.1418181818185</v>
      </c>
      <c r="G990" s="84">
        <v>190.03636363636363</v>
      </c>
      <c r="H990" s="84">
        <v>0</v>
      </c>
      <c r="I990" s="84"/>
      <c r="J990" s="84">
        <v>908.15728942690578</v>
      </c>
      <c r="K990" s="84">
        <v>0</v>
      </c>
      <c r="L990" s="84">
        <v>2349.7644049920768</v>
      </c>
      <c r="M990" s="84">
        <v>225.16830558101734</v>
      </c>
      <c r="N990" s="84">
        <v>0</v>
      </c>
    </row>
    <row r="991" spans="1:14" x14ac:dyDescent="0.25">
      <c r="A991" s="74" t="s">
        <v>2718</v>
      </c>
      <c r="B991" s="74">
        <v>5690</v>
      </c>
      <c r="C991" t="e">
        <f>VLOOKUP(B991,'Waste Lookups'!$B$1:$C$292,2,FALSE)</f>
        <v>#N/A</v>
      </c>
      <c r="D991" s="84">
        <v>1007.6509090909091</v>
      </c>
      <c r="E991" s="84">
        <v>0</v>
      </c>
      <c r="F991" s="84">
        <v>76.309090909090912</v>
      </c>
      <c r="G991" s="84">
        <v>0</v>
      </c>
      <c r="H991" s="84">
        <v>0</v>
      </c>
      <c r="I991" s="84"/>
      <c r="J991" s="84">
        <v>368.61490735988241</v>
      </c>
      <c r="K991" s="84">
        <v>0</v>
      </c>
      <c r="L991" s="84">
        <v>27.91509264011755</v>
      </c>
      <c r="M991" s="84">
        <v>0</v>
      </c>
      <c r="N991" s="84">
        <v>0</v>
      </c>
    </row>
    <row r="992" spans="1:14" x14ac:dyDescent="0.25">
      <c r="A992" s="74" t="s">
        <v>2720</v>
      </c>
      <c r="B992" s="74">
        <v>5694</v>
      </c>
      <c r="C992" t="e">
        <f>VLOOKUP(B992,'Waste Lookups'!$B$1:$C$292,2,FALSE)</f>
        <v>#N/A</v>
      </c>
      <c r="D992" s="84">
        <v>246.44727272727272</v>
      </c>
      <c r="E992" s="84">
        <v>0</v>
      </c>
      <c r="F992" s="84">
        <v>0</v>
      </c>
      <c r="G992" s="84">
        <v>137.61818181818182</v>
      </c>
      <c r="H992" s="84">
        <v>0</v>
      </c>
      <c r="I992" s="84"/>
      <c r="J992" s="84">
        <v>571.53831136738063</v>
      </c>
      <c r="K992" s="84">
        <v>0</v>
      </c>
      <c r="L992" s="84">
        <v>0</v>
      </c>
      <c r="M992" s="84">
        <v>319.15168863261948</v>
      </c>
      <c r="N992" s="84">
        <v>0</v>
      </c>
    </row>
    <row r="993" spans="1:14" x14ac:dyDescent="0.25">
      <c r="A993" s="74" t="s">
        <v>2722</v>
      </c>
      <c r="B993" s="74">
        <v>5695</v>
      </c>
      <c r="C993" t="e">
        <f>VLOOKUP(B993,'Waste Lookups'!$B$1:$C$292,2,FALSE)</f>
        <v>#N/A</v>
      </c>
      <c r="D993" s="84">
        <v>111.18545454545455</v>
      </c>
      <c r="E993" s="84">
        <v>0</v>
      </c>
      <c r="F993" s="84">
        <v>194.57454545454544</v>
      </c>
      <c r="G993" s="84">
        <v>0</v>
      </c>
      <c r="H993" s="84">
        <v>0</v>
      </c>
      <c r="I993" s="84"/>
      <c r="J993" s="84">
        <v>109.90545454545455</v>
      </c>
      <c r="K993" s="84">
        <v>0</v>
      </c>
      <c r="L993" s="84">
        <v>192.33454545454546</v>
      </c>
      <c r="M993" s="84">
        <v>0</v>
      </c>
      <c r="N993" s="84">
        <v>0</v>
      </c>
    </row>
    <row r="994" spans="1:14" x14ac:dyDescent="0.25">
      <c r="A994" s="74" t="s">
        <v>2724</v>
      </c>
      <c r="B994" s="74">
        <v>5696</v>
      </c>
      <c r="C994" t="e">
        <f>VLOOKUP(B994,'Waste Lookups'!$B$1:$C$292,2,FALSE)</f>
        <v>#N/A</v>
      </c>
      <c r="D994" s="84">
        <v>0</v>
      </c>
      <c r="E994" s="84">
        <v>0</v>
      </c>
      <c r="F994" s="84">
        <v>0</v>
      </c>
      <c r="G994" s="84">
        <v>0</v>
      </c>
      <c r="H994" s="84">
        <v>1553.52</v>
      </c>
      <c r="I994" s="84"/>
      <c r="J994" s="84">
        <v>0</v>
      </c>
      <c r="K994" s="84">
        <v>0</v>
      </c>
      <c r="L994" s="84">
        <v>0</v>
      </c>
      <c r="M994" s="84">
        <v>0</v>
      </c>
      <c r="N994" s="84">
        <v>1352.88</v>
      </c>
    </row>
    <row r="995" spans="1:14" x14ac:dyDescent="0.25">
      <c r="A995" s="74" t="s">
        <v>2726</v>
      </c>
      <c r="B995" s="74">
        <v>5720</v>
      </c>
      <c r="C995" t="e">
        <f>VLOOKUP(B995,'Waste Lookups'!$B$1:$C$292,2,FALSE)</f>
        <v>#N/A</v>
      </c>
      <c r="D995" s="84">
        <v>236.16</v>
      </c>
      <c r="E995" s="84">
        <v>0</v>
      </c>
      <c r="F995" s="84">
        <v>3119.0836363636363</v>
      </c>
      <c r="G995" s="84">
        <v>180.04363636363635</v>
      </c>
      <c r="H995" s="84">
        <v>0</v>
      </c>
      <c r="I995" s="84"/>
      <c r="J995" s="84">
        <v>50.253569991483275</v>
      </c>
      <c r="K995" s="84">
        <v>0</v>
      </c>
      <c r="L995" s="84">
        <v>663.72411851833567</v>
      </c>
      <c r="M995" s="84">
        <v>38.312311490181074</v>
      </c>
      <c r="N995" s="84">
        <v>0</v>
      </c>
    </row>
    <row r="996" spans="1:14" x14ac:dyDescent="0.25">
      <c r="A996" s="74" t="s">
        <v>2728</v>
      </c>
      <c r="B996" s="74">
        <v>5725</v>
      </c>
      <c r="C996" t="e">
        <f>VLOOKUP(B996,'Waste Lookups'!$B$1:$C$292,2,FALSE)</f>
        <v>#N/A</v>
      </c>
      <c r="D996" s="84">
        <v>866.29090909090905</v>
      </c>
      <c r="E996" s="84">
        <v>0</v>
      </c>
      <c r="F996" s="84">
        <v>2546.3345454545452</v>
      </c>
      <c r="G996" s="84">
        <v>194.65090909090912</v>
      </c>
      <c r="H996" s="84">
        <v>0</v>
      </c>
      <c r="I996" s="84"/>
      <c r="J996" s="84">
        <v>1027.896572987326</v>
      </c>
      <c r="K996" s="84">
        <v>0</v>
      </c>
      <c r="L996" s="84">
        <v>3021.3505942231914</v>
      </c>
      <c r="M996" s="84">
        <v>230.96283278948317</v>
      </c>
      <c r="N996" s="84">
        <v>0</v>
      </c>
    </row>
    <row r="997" spans="1:14" x14ac:dyDescent="0.25">
      <c r="A997" s="74" t="s">
        <v>2730</v>
      </c>
      <c r="B997" s="74">
        <v>5726</v>
      </c>
      <c r="C997" t="e">
        <f>VLOOKUP(B997,'Waste Lookups'!$B$1:$C$292,2,FALSE)</f>
        <v>#N/A</v>
      </c>
      <c r="D997" s="84">
        <v>4880.596363636364</v>
      </c>
      <c r="E997" s="84">
        <v>0</v>
      </c>
      <c r="F997" s="84">
        <v>2500.647272727273</v>
      </c>
      <c r="G997" s="84">
        <v>220.47272727272724</v>
      </c>
      <c r="H997" s="84">
        <v>0</v>
      </c>
      <c r="I997" s="84"/>
      <c r="J997" s="84">
        <v>6069.0123981952402</v>
      </c>
      <c r="K997" s="84">
        <v>0</v>
      </c>
      <c r="L997" s="84">
        <v>3109.5501801315686</v>
      </c>
      <c r="M997" s="84">
        <v>274.15742167319144</v>
      </c>
      <c r="N997" s="84">
        <v>0</v>
      </c>
    </row>
    <row r="998" spans="1:14" x14ac:dyDescent="0.25">
      <c r="A998" s="74" t="s">
        <v>2732</v>
      </c>
      <c r="B998" s="74">
        <v>5727</v>
      </c>
      <c r="C998" t="e">
        <f>VLOOKUP(B998,'Waste Lookups'!$B$1:$C$292,2,FALSE)</f>
        <v>#N/A</v>
      </c>
      <c r="D998" s="84">
        <v>1379.5636363636363</v>
      </c>
      <c r="E998" s="84">
        <v>0</v>
      </c>
      <c r="F998" s="84">
        <v>3717.84</v>
      </c>
      <c r="G998" s="84">
        <v>28.407272727272726</v>
      </c>
      <c r="H998" s="84">
        <v>0</v>
      </c>
      <c r="I998" s="84"/>
      <c r="J998" s="84">
        <v>1430.6651104783064</v>
      </c>
      <c r="K998" s="84">
        <v>0</v>
      </c>
      <c r="L998" s="84">
        <v>3855.5553612306489</v>
      </c>
      <c r="M998" s="84">
        <v>29.459528291044681</v>
      </c>
      <c r="N998" s="84">
        <v>0</v>
      </c>
    </row>
    <row r="999" spans="1:14" x14ac:dyDescent="0.25">
      <c r="A999" s="74" t="s">
        <v>2734</v>
      </c>
      <c r="B999" s="74">
        <v>5728</v>
      </c>
      <c r="C999" t="e">
        <f>VLOOKUP(B999,'Waste Lookups'!$B$1:$C$292,2,FALSE)</f>
        <v>#N/A</v>
      </c>
      <c r="D999" s="84">
        <v>1175.3345454545456</v>
      </c>
      <c r="E999" s="84">
        <v>0</v>
      </c>
      <c r="F999" s="84">
        <v>2782.167272727273</v>
      </c>
      <c r="G999" s="84">
        <v>350.89090909090908</v>
      </c>
      <c r="H999" s="84">
        <v>0</v>
      </c>
      <c r="I999" s="84"/>
      <c r="J999" s="84">
        <v>1100.9027322148397</v>
      </c>
      <c r="K999" s="84">
        <v>0</v>
      </c>
      <c r="L999" s="84">
        <v>2605.9776459983391</v>
      </c>
      <c r="M999" s="84">
        <v>328.66962178682115</v>
      </c>
      <c r="N999" s="84">
        <v>0</v>
      </c>
    </row>
    <row r="1000" spans="1:14" x14ac:dyDescent="0.25">
      <c r="A1000" s="74" t="s">
        <v>2736</v>
      </c>
      <c r="B1000" s="74">
        <v>5729</v>
      </c>
      <c r="C1000" t="e">
        <f>VLOOKUP(B1000,'Waste Lookups'!$B$1:$C$292,2,FALSE)</f>
        <v>#N/A</v>
      </c>
      <c r="D1000" s="84">
        <v>353.61818181818177</v>
      </c>
      <c r="E1000" s="84">
        <v>0</v>
      </c>
      <c r="F1000" s="84">
        <v>439.22181818181821</v>
      </c>
      <c r="G1000" s="84">
        <v>185.86909090909091</v>
      </c>
      <c r="H1000" s="84">
        <v>0</v>
      </c>
      <c r="I1000" s="84"/>
      <c r="J1000" s="84">
        <v>697.92242768767755</v>
      </c>
      <c r="K1000" s="84">
        <v>0</v>
      </c>
      <c r="L1000" s="84">
        <v>866.87498946664448</v>
      </c>
      <c r="M1000" s="84">
        <v>366.84258284567807</v>
      </c>
      <c r="N1000" s="84">
        <v>0</v>
      </c>
    </row>
    <row r="1001" spans="1:14" x14ac:dyDescent="0.25">
      <c r="A1001" s="74" t="s">
        <v>2738</v>
      </c>
      <c r="B1001" s="74">
        <v>5730</v>
      </c>
      <c r="C1001" t="e">
        <f>VLOOKUP(B1001,'Waste Lookups'!$B$1:$C$292,2,FALSE)</f>
        <v>#N/A</v>
      </c>
      <c r="D1001" s="84">
        <v>910.35272727272718</v>
      </c>
      <c r="E1001" s="84">
        <v>0</v>
      </c>
      <c r="F1001" s="84">
        <v>3708.0654545454545</v>
      </c>
      <c r="G1001" s="84">
        <v>343.0363636363636</v>
      </c>
      <c r="H1001" s="84">
        <v>0</v>
      </c>
      <c r="I1001" s="84"/>
      <c r="J1001" s="84">
        <v>1223.9278409190854</v>
      </c>
      <c r="K1001" s="84">
        <v>0</v>
      </c>
      <c r="L1001" s="84">
        <v>4985.32536873351</v>
      </c>
      <c r="M1001" s="84">
        <v>461.19679034740551</v>
      </c>
      <c r="N1001" s="84">
        <v>0</v>
      </c>
    </row>
    <row r="1002" spans="1:14" x14ac:dyDescent="0.25">
      <c r="A1002" s="74" t="s">
        <v>2740</v>
      </c>
      <c r="B1002" s="74">
        <v>5732</v>
      </c>
      <c r="C1002" t="e">
        <f>VLOOKUP(B1002,'Waste Lookups'!$B$1:$C$292,2,FALSE)</f>
        <v>#N/A</v>
      </c>
      <c r="D1002" s="84">
        <v>0</v>
      </c>
      <c r="E1002" s="84">
        <v>0</v>
      </c>
      <c r="F1002" s="84">
        <v>6066.9163636363637</v>
      </c>
      <c r="G1002" s="84">
        <v>0</v>
      </c>
      <c r="H1002" s="84">
        <v>0</v>
      </c>
      <c r="I1002" s="84"/>
      <c r="J1002" s="84">
        <v>0</v>
      </c>
      <c r="K1002" s="84">
        <v>0</v>
      </c>
      <c r="L1002" s="84">
        <v>1382.68</v>
      </c>
      <c r="M1002" s="84">
        <v>0</v>
      </c>
      <c r="N1002" s="84">
        <v>0</v>
      </c>
    </row>
    <row r="1003" spans="1:14" x14ac:dyDescent="0.25">
      <c r="A1003" s="74" t="s">
        <v>785</v>
      </c>
      <c r="B1003" s="74">
        <v>5733</v>
      </c>
      <c r="C1003" t="str">
        <f>VLOOKUP(B1003,'Waste Lookups'!$B$1:$C$292,2,FALSE)</f>
        <v>1 Standard Court</v>
      </c>
      <c r="D1003" s="84">
        <v>1428.0218181818182</v>
      </c>
      <c r="E1003" s="84">
        <v>0</v>
      </c>
      <c r="F1003" s="84">
        <v>49.11272727272727</v>
      </c>
      <c r="G1003" s="84">
        <v>570.67636363636359</v>
      </c>
      <c r="H1003" s="84">
        <v>0</v>
      </c>
      <c r="I1003" s="84"/>
      <c r="J1003" s="84">
        <v>2139.3714217221764</v>
      </c>
      <c r="K1003" s="84">
        <v>0</v>
      </c>
      <c r="L1003" s="84">
        <v>73.577562914189528</v>
      </c>
      <c r="M1003" s="84">
        <v>854.95101536363461</v>
      </c>
      <c r="N1003" s="84">
        <v>0</v>
      </c>
    </row>
    <row r="1004" spans="1:14" x14ac:dyDescent="0.25">
      <c r="A1004" s="74" t="s">
        <v>2743</v>
      </c>
      <c r="B1004" s="74">
        <v>5734</v>
      </c>
      <c r="C1004" t="e">
        <f>VLOOKUP(B1004,'Waste Lookups'!$B$1:$C$292,2,FALSE)</f>
        <v>#N/A</v>
      </c>
      <c r="D1004" s="84">
        <v>637.1672727272728</v>
      </c>
      <c r="E1004" s="84">
        <v>0</v>
      </c>
      <c r="F1004" s="84">
        <v>3277.1236363636367</v>
      </c>
      <c r="G1004" s="84">
        <v>287.31272727272727</v>
      </c>
      <c r="H1004" s="84">
        <v>0</v>
      </c>
      <c r="I1004" s="84"/>
      <c r="J1004" s="84">
        <v>716.42434104380925</v>
      </c>
      <c r="K1004" s="84">
        <v>0</v>
      </c>
      <c r="L1004" s="84">
        <v>3684.764177625686</v>
      </c>
      <c r="M1004" s="84">
        <v>323.05148133050494</v>
      </c>
      <c r="N1004" s="84">
        <v>0</v>
      </c>
    </row>
    <row r="1005" spans="1:14" x14ac:dyDescent="0.25">
      <c r="A1005" s="74" t="s">
        <v>2745</v>
      </c>
      <c r="B1005" s="74">
        <v>5738</v>
      </c>
      <c r="C1005" t="e">
        <f>VLOOKUP(B1005,'Waste Lookups'!$B$1:$C$292,2,FALSE)</f>
        <v>#N/A</v>
      </c>
      <c r="D1005" s="84">
        <v>941.35636363636354</v>
      </c>
      <c r="E1005" s="84">
        <v>0</v>
      </c>
      <c r="F1005" s="84">
        <v>2403.5127272727273</v>
      </c>
      <c r="G1005" s="84">
        <v>350.98909090909092</v>
      </c>
      <c r="H1005" s="84">
        <v>0</v>
      </c>
      <c r="I1005" s="84"/>
      <c r="J1005" s="84">
        <v>1148.4427970967006</v>
      </c>
      <c r="K1005" s="84">
        <v>0</v>
      </c>
      <c r="L1005" s="84">
        <v>2932.2549737740819</v>
      </c>
      <c r="M1005" s="84">
        <v>428.20222912921679</v>
      </c>
      <c r="N1005" s="84">
        <v>0</v>
      </c>
    </row>
    <row r="1006" spans="1:14" x14ac:dyDescent="0.25">
      <c r="A1006" s="74" t="s">
        <v>2747</v>
      </c>
      <c r="B1006" s="74">
        <v>5739</v>
      </c>
      <c r="C1006" t="e">
        <f>VLOOKUP(B1006,'Waste Lookups'!$B$1:$C$292,2,FALSE)</f>
        <v>#N/A</v>
      </c>
      <c r="D1006" s="84">
        <v>734.13818181818181</v>
      </c>
      <c r="E1006" s="84">
        <v>0</v>
      </c>
      <c r="F1006" s="84">
        <v>3575.5199999999995</v>
      </c>
      <c r="G1006" s="84">
        <v>205.00363636363636</v>
      </c>
      <c r="H1006" s="84">
        <v>0</v>
      </c>
      <c r="I1006" s="84"/>
      <c r="J1006" s="84">
        <v>651.33748252964881</v>
      </c>
      <c r="K1006" s="84">
        <v>0</v>
      </c>
      <c r="L1006" s="84">
        <v>3172.2504743816512</v>
      </c>
      <c r="M1006" s="84">
        <v>181.8820430887001</v>
      </c>
      <c r="N1006" s="84">
        <v>0</v>
      </c>
    </row>
    <row r="1007" spans="1:14" x14ac:dyDescent="0.25">
      <c r="A1007" s="74" t="s">
        <v>786</v>
      </c>
      <c r="B1007" s="74">
        <v>5740</v>
      </c>
      <c r="C1007" t="str">
        <f>VLOOKUP(B1007,'Waste Lookups'!$B$1:$C$292,2,FALSE)</f>
        <v>Wollaton Vale Health Centre</v>
      </c>
      <c r="D1007" s="84">
        <v>1745.8472727272724</v>
      </c>
      <c r="E1007" s="84">
        <v>0</v>
      </c>
      <c r="F1007" s="84">
        <v>2502.0872727272726</v>
      </c>
      <c r="G1007" s="84">
        <v>177.04363636363635</v>
      </c>
      <c r="H1007" s="84">
        <v>0</v>
      </c>
      <c r="I1007" s="84"/>
      <c r="J1007" s="84">
        <v>1539.3911617437864</v>
      </c>
      <c r="K1007" s="84">
        <v>0</v>
      </c>
      <c r="L1007" s="84">
        <v>2206.2015926118584</v>
      </c>
      <c r="M1007" s="84">
        <v>156.10724564435446</v>
      </c>
      <c r="N1007" s="84">
        <v>0</v>
      </c>
    </row>
    <row r="1008" spans="1:14" x14ac:dyDescent="0.25">
      <c r="A1008" s="74" t="s">
        <v>2750</v>
      </c>
      <c r="B1008" s="74">
        <v>5758</v>
      </c>
      <c r="C1008" t="e">
        <f>VLOOKUP(B1008,'Waste Lookups'!$B$1:$C$292,2,FALSE)</f>
        <v>#N/A</v>
      </c>
      <c r="D1008" s="84">
        <v>0</v>
      </c>
      <c r="E1008" s="84">
        <v>1226.2145454545455</v>
      </c>
      <c r="F1008" s="84">
        <v>0</v>
      </c>
      <c r="G1008" s="84">
        <v>1226.6072727272729</v>
      </c>
      <c r="H1008" s="84">
        <v>6969.1854545454544</v>
      </c>
      <c r="I1008" s="84"/>
      <c r="J1008" s="84">
        <v>0</v>
      </c>
      <c r="K1008" s="84">
        <v>928.78847578512523</v>
      </c>
      <c r="L1008" s="84">
        <v>0</v>
      </c>
      <c r="M1008" s="84">
        <v>929.08594458158314</v>
      </c>
      <c r="N1008" s="84">
        <v>5278.765579633292</v>
      </c>
    </row>
    <row r="1009" spans="1:14" x14ac:dyDescent="0.25">
      <c r="A1009" s="74" t="s">
        <v>2752</v>
      </c>
      <c r="B1009" s="74">
        <v>5759</v>
      </c>
      <c r="C1009" t="e">
        <f>VLOOKUP(B1009,'Waste Lookups'!$B$1:$C$292,2,FALSE)</f>
        <v>#N/A</v>
      </c>
      <c r="D1009" s="84">
        <v>163.74545454545455</v>
      </c>
      <c r="E1009" s="84">
        <v>705.99272727272728</v>
      </c>
      <c r="F1009" s="84">
        <v>0</v>
      </c>
      <c r="G1009" s="84">
        <v>705.96</v>
      </c>
      <c r="H1009" s="84">
        <v>0</v>
      </c>
      <c r="I1009" s="84"/>
      <c r="J1009" s="84">
        <v>210.53634821620199</v>
      </c>
      <c r="K1009" s="84">
        <v>907.73286550031503</v>
      </c>
      <c r="L1009" s="84">
        <v>0</v>
      </c>
      <c r="M1009" s="84">
        <v>907.69078628348302</v>
      </c>
      <c r="N1009" s="84">
        <v>0</v>
      </c>
    </row>
    <row r="1010" spans="1:14" x14ac:dyDescent="0.25">
      <c r="A1010" s="74" t="s">
        <v>671</v>
      </c>
      <c r="B1010" s="74">
        <v>5765</v>
      </c>
      <c r="C1010" t="str">
        <f>VLOOKUP(B1010,'Waste Lookups'!$B$1:$C$292,2,FALSE)</f>
        <v>Lakeside</v>
      </c>
      <c r="D1010" s="84">
        <v>0</v>
      </c>
      <c r="E1010" s="84">
        <v>1213.92</v>
      </c>
      <c r="F1010" s="84">
        <v>0</v>
      </c>
      <c r="G1010" s="84">
        <v>2430.4254545454546</v>
      </c>
      <c r="H1010" s="84">
        <v>0</v>
      </c>
      <c r="I1010" s="84"/>
      <c r="J1010" s="84">
        <v>0</v>
      </c>
      <c r="K1010" s="84">
        <v>786.53160468771046</v>
      </c>
      <c r="L1010" s="84">
        <v>0</v>
      </c>
      <c r="M1010" s="84">
        <v>1574.7383953122894</v>
      </c>
      <c r="N1010" s="84">
        <v>0</v>
      </c>
    </row>
    <row r="1011" spans="1:14" x14ac:dyDescent="0.25">
      <c r="A1011" s="74" t="s">
        <v>2755</v>
      </c>
      <c r="B1011" s="74">
        <v>5770</v>
      </c>
      <c r="C1011" t="e">
        <f>VLOOKUP(B1011,'Waste Lookups'!$B$1:$C$292,2,FALSE)</f>
        <v>#N/A</v>
      </c>
      <c r="D1011" s="84">
        <v>0</v>
      </c>
      <c r="E1011" s="84">
        <v>309.81818181818181</v>
      </c>
      <c r="F1011" s="84">
        <v>0</v>
      </c>
      <c r="G1011" s="84">
        <v>309.80727272727273</v>
      </c>
      <c r="H1011" s="84">
        <v>0</v>
      </c>
      <c r="I1011" s="84"/>
      <c r="J1011" s="84">
        <v>0</v>
      </c>
      <c r="K1011" s="84">
        <v>186.72328738182011</v>
      </c>
      <c r="L1011" s="84">
        <v>0</v>
      </c>
      <c r="M1011" s="84">
        <v>186.71671261817988</v>
      </c>
      <c r="N1011" s="84">
        <v>0</v>
      </c>
    </row>
    <row r="1012" spans="1:14" x14ac:dyDescent="0.25">
      <c r="A1012" s="74" t="s">
        <v>2757</v>
      </c>
      <c r="B1012" s="74">
        <v>5772</v>
      </c>
      <c r="C1012" t="e">
        <f>VLOOKUP(B1012,'Waste Lookups'!$B$1:$C$292,2,FALSE)</f>
        <v>#N/A</v>
      </c>
      <c r="D1012" s="84">
        <v>0</v>
      </c>
      <c r="E1012" s="84">
        <v>0</v>
      </c>
      <c r="F1012" s="84">
        <v>0</v>
      </c>
      <c r="G1012" s="84">
        <v>0</v>
      </c>
      <c r="H1012" s="84">
        <v>0</v>
      </c>
      <c r="I1012" s="84"/>
      <c r="J1012" s="84">
        <v>0</v>
      </c>
      <c r="K1012" s="84">
        <v>0</v>
      </c>
      <c r="L1012" s="84">
        <v>0</v>
      </c>
      <c r="M1012" s="84">
        <v>0</v>
      </c>
      <c r="N1012" s="84">
        <v>0</v>
      </c>
    </row>
    <row r="1013" spans="1:14" x14ac:dyDescent="0.25">
      <c r="A1013" s="74" t="s">
        <v>2759</v>
      </c>
      <c r="B1013" s="74">
        <v>5779</v>
      </c>
      <c r="C1013" t="e">
        <f>VLOOKUP(B1013,'Waste Lookups'!$B$1:$C$292,2,FALSE)</f>
        <v>#N/A</v>
      </c>
      <c r="D1013" s="84">
        <v>0</v>
      </c>
      <c r="E1013" s="84">
        <v>0</v>
      </c>
      <c r="F1013" s="84">
        <v>0</v>
      </c>
      <c r="G1013" s="84">
        <v>0</v>
      </c>
      <c r="H1013" s="84">
        <v>0</v>
      </c>
      <c r="I1013" s="84"/>
      <c r="J1013" s="84">
        <v>0</v>
      </c>
      <c r="K1013" s="84">
        <v>0</v>
      </c>
      <c r="L1013" s="84">
        <v>0</v>
      </c>
      <c r="M1013" s="84">
        <v>0</v>
      </c>
      <c r="N1013" s="84">
        <v>0</v>
      </c>
    </row>
    <row r="1014" spans="1:14" x14ac:dyDescent="0.25">
      <c r="A1014" s="74" t="s">
        <v>2761</v>
      </c>
      <c r="B1014" s="74">
        <v>5782</v>
      </c>
      <c r="C1014" t="e">
        <f>VLOOKUP(B1014,'Waste Lookups'!$B$1:$C$292,2,FALSE)</f>
        <v>#N/A</v>
      </c>
      <c r="D1014" s="84">
        <v>67.320000000000007</v>
      </c>
      <c r="E1014" s="84">
        <v>247.42909090909092</v>
      </c>
      <c r="F1014" s="84">
        <v>0</v>
      </c>
      <c r="G1014" s="84">
        <v>247.42909090909092</v>
      </c>
      <c r="H1014" s="84">
        <v>0</v>
      </c>
      <c r="I1014" s="84"/>
      <c r="J1014" s="84">
        <v>131.39764578037375</v>
      </c>
      <c r="K1014" s="84">
        <v>482.94117710981305</v>
      </c>
      <c r="L1014" s="84">
        <v>0</v>
      </c>
      <c r="M1014" s="84">
        <v>482.94117710981305</v>
      </c>
      <c r="N1014" s="84">
        <v>0</v>
      </c>
    </row>
    <row r="1015" spans="1:14" x14ac:dyDescent="0.25">
      <c r="A1015" s="74" t="s">
        <v>2763</v>
      </c>
      <c r="B1015" s="74">
        <v>5784</v>
      </c>
      <c r="C1015" t="e">
        <f>VLOOKUP(B1015,'Waste Lookups'!$B$1:$C$292,2,FALSE)</f>
        <v>#N/A</v>
      </c>
      <c r="D1015" s="84">
        <v>0</v>
      </c>
      <c r="E1015" s="84">
        <v>1099.1454545454544</v>
      </c>
      <c r="F1015" s="84">
        <v>0</v>
      </c>
      <c r="G1015" s="84">
        <v>0</v>
      </c>
      <c r="H1015" s="84">
        <v>0</v>
      </c>
      <c r="I1015" s="84"/>
      <c r="J1015" s="84">
        <v>0</v>
      </c>
      <c r="K1015" s="84">
        <v>1899.63</v>
      </c>
      <c r="L1015" s="84">
        <v>0</v>
      </c>
      <c r="M1015" s="84">
        <v>0</v>
      </c>
      <c r="N1015" s="84">
        <v>0</v>
      </c>
    </row>
    <row r="1016" spans="1:14" x14ac:dyDescent="0.25">
      <c r="A1016" s="74" t="s">
        <v>2765</v>
      </c>
      <c r="B1016" s="74">
        <v>5785</v>
      </c>
      <c r="C1016" t="e">
        <f>VLOOKUP(B1016,'Waste Lookups'!$B$1:$C$292,2,FALSE)</f>
        <v>#N/A</v>
      </c>
      <c r="D1016" s="84">
        <v>0</v>
      </c>
      <c r="E1016" s="84">
        <v>496.36363636363637</v>
      </c>
      <c r="F1016" s="84">
        <v>0</v>
      </c>
      <c r="G1016" s="84">
        <v>0</v>
      </c>
      <c r="H1016" s="84">
        <v>0</v>
      </c>
      <c r="I1016" s="84"/>
      <c r="J1016" s="84">
        <v>0</v>
      </c>
      <c r="K1016" s="84">
        <v>195</v>
      </c>
      <c r="L1016" s="84">
        <v>0</v>
      </c>
      <c r="M1016" s="84">
        <v>0</v>
      </c>
      <c r="N1016" s="84">
        <v>0</v>
      </c>
    </row>
    <row r="1017" spans="1:14" x14ac:dyDescent="0.25">
      <c r="A1017" s="74" t="s">
        <v>2767</v>
      </c>
      <c r="B1017" s="74">
        <v>5786</v>
      </c>
      <c r="C1017" t="e">
        <f>VLOOKUP(B1017,'Waste Lookups'!$B$1:$C$292,2,FALSE)</f>
        <v>#N/A</v>
      </c>
      <c r="D1017" s="84">
        <v>0</v>
      </c>
      <c r="E1017" s="84">
        <v>6534.272727272727</v>
      </c>
      <c r="F1017" s="84">
        <v>0</v>
      </c>
      <c r="G1017" s="84">
        <v>0</v>
      </c>
      <c r="H1017" s="84">
        <v>0</v>
      </c>
      <c r="I1017" s="84"/>
      <c r="J1017" s="84">
        <v>0</v>
      </c>
      <c r="K1017" s="84">
        <v>6549.55</v>
      </c>
      <c r="L1017" s="84">
        <v>0</v>
      </c>
      <c r="M1017" s="84">
        <v>0</v>
      </c>
      <c r="N1017" s="84">
        <v>0</v>
      </c>
    </row>
    <row r="1018" spans="1:14" x14ac:dyDescent="0.25">
      <c r="A1018" s="74" t="s">
        <v>2769</v>
      </c>
      <c r="B1018" s="74">
        <v>5787</v>
      </c>
      <c r="C1018" t="e">
        <f>VLOOKUP(B1018,'Waste Lookups'!$B$1:$C$292,2,FALSE)</f>
        <v>#N/A</v>
      </c>
      <c r="D1018" s="84">
        <v>0</v>
      </c>
      <c r="E1018" s="84">
        <v>2166.2072727272725</v>
      </c>
      <c r="F1018" s="84">
        <v>0</v>
      </c>
      <c r="G1018" s="84">
        <v>296.24727272727273</v>
      </c>
      <c r="H1018" s="84">
        <v>0</v>
      </c>
      <c r="I1018" s="84"/>
      <c r="J1018" s="84">
        <v>0</v>
      </c>
      <c r="K1018" s="84">
        <v>1712.9231827223393</v>
      </c>
      <c r="L1018" s="84">
        <v>0</v>
      </c>
      <c r="M1018" s="84">
        <v>234.25681727766093</v>
      </c>
      <c r="N1018" s="84">
        <v>0</v>
      </c>
    </row>
    <row r="1019" spans="1:14" x14ac:dyDescent="0.25">
      <c r="A1019" s="74" t="s">
        <v>2771</v>
      </c>
      <c r="B1019" s="74">
        <v>5789</v>
      </c>
      <c r="C1019" t="e">
        <f>VLOOKUP(B1019,'Waste Lookups'!$B$1:$C$292,2,FALSE)</f>
        <v>#N/A</v>
      </c>
      <c r="D1019" s="84">
        <v>0</v>
      </c>
      <c r="E1019" s="84">
        <v>6035.7818181818184</v>
      </c>
      <c r="F1019" s="84">
        <v>0</v>
      </c>
      <c r="G1019" s="84">
        <v>803.89090909090896</v>
      </c>
      <c r="H1019" s="84">
        <v>0</v>
      </c>
      <c r="I1019" s="84"/>
      <c r="J1019" s="84">
        <v>0</v>
      </c>
      <c r="K1019" s="84">
        <v>2328.8290029825989</v>
      </c>
      <c r="L1019" s="84">
        <v>0</v>
      </c>
      <c r="M1019" s="84">
        <v>310.17099701740108</v>
      </c>
      <c r="N1019" s="84">
        <v>0</v>
      </c>
    </row>
    <row r="1020" spans="1:14" x14ac:dyDescent="0.25">
      <c r="A1020" s="74" t="s">
        <v>2773</v>
      </c>
      <c r="B1020" s="74">
        <v>5790</v>
      </c>
      <c r="C1020" t="e">
        <f>VLOOKUP(B1020,'Waste Lookups'!$B$1:$C$292,2,FALSE)</f>
        <v>#N/A</v>
      </c>
      <c r="D1020" s="84">
        <v>0</v>
      </c>
      <c r="E1020" s="84">
        <v>243.44727272727275</v>
      </c>
      <c r="F1020" s="84">
        <v>0</v>
      </c>
      <c r="G1020" s="84">
        <v>190.32</v>
      </c>
      <c r="H1020" s="84">
        <v>0</v>
      </c>
      <c r="I1020" s="84"/>
      <c r="J1020" s="84">
        <v>0</v>
      </c>
      <c r="K1020" s="84">
        <v>332.5567788340627</v>
      </c>
      <c r="L1020" s="84">
        <v>0</v>
      </c>
      <c r="M1020" s="84">
        <v>259.98322116593732</v>
      </c>
      <c r="N1020" s="84">
        <v>0</v>
      </c>
    </row>
    <row r="1021" spans="1:14" x14ac:dyDescent="0.25">
      <c r="A1021" s="74" t="s">
        <v>2775</v>
      </c>
      <c r="B1021" s="74">
        <v>5794</v>
      </c>
      <c r="C1021" t="e">
        <f>VLOOKUP(B1021,'Waste Lookups'!$B$1:$C$292,2,FALSE)</f>
        <v>#N/A</v>
      </c>
      <c r="D1021" s="84">
        <v>0</v>
      </c>
      <c r="E1021" s="84">
        <v>2107.7563636363639</v>
      </c>
      <c r="F1021" s="84">
        <v>0</v>
      </c>
      <c r="G1021" s="84">
        <v>585.70909090909083</v>
      </c>
      <c r="H1021" s="84">
        <v>0</v>
      </c>
      <c r="I1021" s="84"/>
      <c r="J1021" s="84">
        <v>0</v>
      </c>
      <c r="K1021" s="84">
        <v>908.28365814638266</v>
      </c>
      <c r="L1021" s="84">
        <v>0</v>
      </c>
      <c r="M1021" s="84">
        <v>252.39634185361743</v>
      </c>
      <c r="N1021" s="84">
        <v>0</v>
      </c>
    </row>
    <row r="1022" spans="1:14" x14ac:dyDescent="0.25">
      <c r="A1022" s="74" t="s">
        <v>2777</v>
      </c>
      <c r="B1022" s="74">
        <v>5799</v>
      </c>
      <c r="C1022" t="e">
        <f>VLOOKUP(B1022,'Waste Lookups'!$B$1:$C$292,2,FALSE)</f>
        <v>#N/A</v>
      </c>
      <c r="D1022" s="84">
        <v>0</v>
      </c>
      <c r="E1022" s="84">
        <v>111.79636363636364</v>
      </c>
      <c r="F1022" s="84">
        <v>0</v>
      </c>
      <c r="G1022" s="84">
        <v>0</v>
      </c>
      <c r="H1022" s="84">
        <v>0</v>
      </c>
      <c r="I1022" s="84"/>
      <c r="J1022" s="84">
        <v>0</v>
      </c>
      <c r="K1022" s="84">
        <v>1503.84</v>
      </c>
      <c r="L1022" s="84">
        <v>0</v>
      </c>
      <c r="M1022" s="84">
        <v>0</v>
      </c>
      <c r="N1022" s="84">
        <v>0</v>
      </c>
    </row>
    <row r="1023" spans="1:14" x14ac:dyDescent="0.25">
      <c r="A1023" s="74" t="s">
        <v>2779</v>
      </c>
      <c r="B1023" s="74">
        <v>5801</v>
      </c>
      <c r="C1023" t="e">
        <f>VLOOKUP(B1023,'Waste Lookups'!$B$1:$C$292,2,FALSE)</f>
        <v>#N/A</v>
      </c>
      <c r="D1023" s="84">
        <v>0</v>
      </c>
      <c r="E1023" s="84">
        <v>5723.443636363636</v>
      </c>
      <c r="F1023" s="84">
        <v>0</v>
      </c>
      <c r="G1023" s="84">
        <v>0</v>
      </c>
      <c r="H1023" s="84">
        <v>0</v>
      </c>
      <c r="I1023" s="84"/>
      <c r="J1023" s="84">
        <v>0</v>
      </c>
      <c r="K1023" s="84">
        <v>4204.38</v>
      </c>
      <c r="L1023" s="84">
        <v>0</v>
      </c>
      <c r="M1023" s="84">
        <v>0</v>
      </c>
      <c r="N1023" s="84">
        <v>0</v>
      </c>
    </row>
    <row r="1024" spans="1:14" x14ac:dyDescent="0.25">
      <c r="A1024" s="74" t="s">
        <v>2781</v>
      </c>
      <c r="B1024" s="74">
        <v>5802</v>
      </c>
      <c r="C1024" t="e">
        <f>VLOOKUP(B1024,'Waste Lookups'!$B$1:$C$292,2,FALSE)</f>
        <v>#N/A</v>
      </c>
      <c r="D1024" s="84">
        <v>0</v>
      </c>
      <c r="E1024" s="84">
        <v>550.02545454545452</v>
      </c>
      <c r="F1024" s="84">
        <v>0</v>
      </c>
      <c r="G1024" s="84">
        <v>475.79999999999995</v>
      </c>
      <c r="H1024" s="84">
        <v>0</v>
      </c>
      <c r="I1024" s="84"/>
      <c r="J1024" s="84">
        <v>0</v>
      </c>
      <c r="K1024" s="84">
        <v>571.029999787311</v>
      </c>
      <c r="L1024" s="84">
        <v>0</v>
      </c>
      <c r="M1024" s="84">
        <v>493.97000021268906</v>
      </c>
      <c r="N1024" s="84">
        <v>0</v>
      </c>
    </row>
    <row r="1025" spans="1:14" x14ac:dyDescent="0.25">
      <c r="A1025" s="74" t="s">
        <v>2783</v>
      </c>
      <c r="B1025" s="74">
        <v>5804</v>
      </c>
      <c r="C1025" t="e">
        <f>VLOOKUP(B1025,'Waste Lookups'!$B$1:$C$292,2,FALSE)</f>
        <v>#N/A</v>
      </c>
      <c r="D1025" s="84">
        <v>0</v>
      </c>
      <c r="E1025" s="84">
        <v>2722.4945454545455</v>
      </c>
      <c r="F1025" s="84">
        <v>0</v>
      </c>
      <c r="G1025" s="84">
        <v>0</v>
      </c>
      <c r="H1025" s="84">
        <v>0</v>
      </c>
      <c r="I1025" s="84"/>
      <c r="J1025" s="84">
        <v>0</v>
      </c>
      <c r="K1025" s="84">
        <v>2608</v>
      </c>
      <c r="L1025" s="84">
        <v>0</v>
      </c>
      <c r="M1025" s="84">
        <v>0</v>
      </c>
      <c r="N1025" s="84">
        <v>0</v>
      </c>
    </row>
    <row r="1026" spans="1:14" x14ac:dyDescent="0.25">
      <c r="A1026" s="74" t="s">
        <v>2785</v>
      </c>
      <c r="B1026" s="74">
        <v>5805</v>
      </c>
      <c r="C1026" t="e">
        <f>VLOOKUP(B1026,'Waste Lookups'!$B$1:$C$292,2,FALSE)</f>
        <v>#N/A</v>
      </c>
      <c r="D1026" s="84">
        <v>0</v>
      </c>
      <c r="E1026" s="84">
        <v>288.19636363636363</v>
      </c>
      <c r="F1026" s="84">
        <v>0</v>
      </c>
      <c r="G1026" s="84">
        <v>0</v>
      </c>
      <c r="H1026" s="84">
        <v>0</v>
      </c>
      <c r="I1026" s="84"/>
      <c r="J1026" s="84">
        <v>0</v>
      </c>
      <c r="K1026" s="84">
        <v>2301.2399999999998</v>
      </c>
      <c r="L1026" s="84">
        <v>0</v>
      </c>
      <c r="M1026" s="84">
        <v>0</v>
      </c>
      <c r="N1026" s="84">
        <v>0</v>
      </c>
    </row>
    <row r="1027" spans="1:14" x14ac:dyDescent="0.25">
      <c r="A1027" s="74" t="s">
        <v>2787</v>
      </c>
      <c r="B1027" s="74">
        <v>5807</v>
      </c>
      <c r="C1027" t="e">
        <f>VLOOKUP(B1027,'Waste Lookups'!$B$1:$C$292,2,FALSE)</f>
        <v>#N/A</v>
      </c>
      <c r="D1027" s="84">
        <v>0</v>
      </c>
      <c r="E1027" s="84">
        <v>527.62909090909091</v>
      </c>
      <c r="F1027" s="84">
        <v>0</v>
      </c>
      <c r="G1027" s="84">
        <v>184.60363636363635</v>
      </c>
      <c r="H1027" s="84">
        <v>0</v>
      </c>
      <c r="I1027" s="84"/>
      <c r="J1027" s="84">
        <v>0</v>
      </c>
      <c r="K1027" s="84">
        <v>369.84195931871091</v>
      </c>
      <c r="L1027" s="84">
        <v>0</v>
      </c>
      <c r="M1027" s="84">
        <v>129.39804068128905</v>
      </c>
      <c r="N1027" s="84">
        <v>0</v>
      </c>
    </row>
    <row r="1028" spans="1:14" x14ac:dyDescent="0.25">
      <c r="A1028" s="74" t="s">
        <v>2789</v>
      </c>
      <c r="B1028" s="74">
        <v>5808</v>
      </c>
      <c r="C1028" t="e">
        <f>VLOOKUP(B1028,'Waste Lookups'!$B$1:$C$292,2,FALSE)</f>
        <v>#N/A</v>
      </c>
      <c r="D1028" s="84">
        <v>0</v>
      </c>
      <c r="E1028" s="84">
        <v>0</v>
      </c>
      <c r="F1028" s="84">
        <v>0</v>
      </c>
      <c r="G1028" s="84">
        <v>7946.5418181818177</v>
      </c>
      <c r="H1028" s="84">
        <v>0</v>
      </c>
      <c r="I1028" s="84"/>
      <c r="J1028" s="84">
        <v>0</v>
      </c>
      <c r="K1028" s="84">
        <v>0</v>
      </c>
      <c r="L1028" s="84">
        <v>0</v>
      </c>
      <c r="M1028" s="84">
        <v>7032.48</v>
      </c>
      <c r="N1028" s="84">
        <v>0</v>
      </c>
    </row>
    <row r="1029" spans="1:14" x14ac:dyDescent="0.25">
      <c r="A1029" s="74" t="s">
        <v>2791</v>
      </c>
      <c r="B1029" s="74">
        <v>5810</v>
      </c>
      <c r="C1029" t="e">
        <f>VLOOKUP(B1029,'Waste Lookups'!$B$1:$C$292,2,FALSE)</f>
        <v>#N/A</v>
      </c>
      <c r="D1029" s="84">
        <v>0</v>
      </c>
      <c r="E1029" s="84">
        <v>414.54545454545456</v>
      </c>
      <c r="F1029" s="84">
        <v>0</v>
      </c>
      <c r="G1029" s="84">
        <v>0</v>
      </c>
      <c r="H1029" s="84">
        <v>0</v>
      </c>
      <c r="I1029" s="84"/>
      <c r="J1029" s="84">
        <v>0</v>
      </c>
      <c r="K1029" s="84">
        <v>0</v>
      </c>
      <c r="L1029" s="84">
        <v>0</v>
      </c>
      <c r="M1029" s="84">
        <v>0</v>
      </c>
      <c r="N1029" s="84">
        <v>0</v>
      </c>
    </row>
    <row r="1030" spans="1:14" x14ac:dyDescent="0.25">
      <c r="A1030" s="74" t="s">
        <v>672</v>
      </c>
      <c r="B1030" s="74">
        <v>5812</v>
      </c>
      <c r="C1030" t="str">
        <f>VLOOKUP(B1030,'Waste Lookups'!$B$1:$C$292,2,FALSE)</f>
        <v>Rushbrook House</v>
      </c>
      <c r="D1030" s="84">
        <v>0</v>
      </c>
      <c r="E1030" s="84">
        <v>2305.909090909091</v>
      </c>
      <c r="F1030" s="84">
        <v>0</v>
      </c>
      <c r="G1030" s="84">
        <v>0</v>
      </c>
      <c r="H1030" s="84">
        <v>0</v>
      </c>
      <c r="I1030" s="84"/>
      <c r="J1030" s="84">
        <v>0</v>
      </c>
      <c r="K1030" s="84">
        <v>2973.4</v>
      </c>
      <c r="L1030" s="84">
        <v>0</v>
      </c>
      <c r="M1030" s="84">
        <v>0</v>
      </c>
      <c r="N1030" s="84">
        <v>0</v>
      </c>
    </row>
    <row r="1031" spans="1:14" x14ac:dyDescent="0.25">
      <c r="A1031" s="74" t="s">
        <v>2794</v>
      </c>
      <c r="B1031" s="74">
        <v>5817</v>
      </c>
      <c r="C1031" t="e">
        <f>VLOOKUP(B1031,'Waste Lookups'!$B$1:$C$292,2,FALSE)</f>
        <v>#N/A</v>
      </c>
      <c r="D1031" s="84">
        <v>0</v>
      </c>
      <c r="E1031" s="84">
        <v>2011.9309090909092</v>
      </c>
      <c r="F1031" s="84">
        <v>0</v>
      </c>
      <c r="G1031" s="84">
        <v>585.70909090909083</v>
      </c>
      <c r="H1031" s="84">
        <v>0</v>
      </c>
      <c r="I1031" s="84"/>
      <c r="J1031" s="84">
        <v>0</v>
      </c>
      <c r="K1031" s="84">
        <v>409.79991222802238</v>
      </c>
      <c r="L1031" s="84">
        <v>0</v>
      </c>
      <c r="M1031" s="84">
        <v>119.30008777197763</v>
      </c>
      <c r="N1031" s="84">
        <v>0</v>
      </c>
    </row>
    <row r="1032" spans="1:14" x14ac:dyDescent="0.25">
      <c r="A1032" s="74" t="s">
        <v>2796</v>
      </c>
      <c r="B1032" s="74">
        <v>5818</v>
      </c>
      <c r="C1032" t="e">
        <f>VLOOKUP(B1032,'Waste Lookups'!$B$1:$C$292,2,FALSE)</f>
        <v>#N/A</v>
      </c>
      <c r="D1032" s="84">
        <v>0</v>
      </c>
      <c r="E1032" s="84">
        <v>87.709090909090918</v>
      </c>
      <c r="F1032" s="84">
        <v>0</v>
      </c>
      <c r="G1032" s="84">
        <v>0</v>
      </c>
      <c r="H1032" s="84">
        <v>0</v>
      </c>
      <c r="I1032" s="84"/>
      <c r="J1032" s="84">
        <v>0</v>
      </c>
      <c r="K1032" s="84">
        <v>747.88</v>
      </c>
      <c r="L1032" s="84">
        <v>0</v>
      </c>
      <c r="M1032" s="84">
        <v>0</v>
      </c>
      <c r="N1032" s="84">
        <v>0</v>
      </c>
    </row>
    <row r="1033" spans="1:14" x14ac:dyDescent="0.25">
      <c r="A1033" s="74" t="s">
        <v>2798</v>
      </c>
      <c r="B1033" s="74">
        <v>5820</v>
      </c>
      <c r="C1033" t="e">
        <f>VLOOKUP(B1033,'Waste Lookups'!$B$1:$C$292,2,FALSE)</f>
        <v>#N/A</v>
      </c>
      <c r="D1033" s="84">
        <v>0</v>
      </c>
      <c r="E1033" s="84">
        <v>3060.7309090909093</v>
      </c>
      <c r="F1033" s="84">
        <v>0</v>
      </c>
      <c r="G1033" s="84">
        <v>0</v>
      </c>
      <c r="H1033" s="84">
        <v>0</v>
      </c>
      <c r="I1033" s="84"/>
      <c r="J1033" s="84">
        <v>0</v>
      </c>
      <c r="K1033" s="84">
        <v>2542.17</v>
      </c>
      <c r="L1033" s="84">
        <v>0</v>
      </c>
      <c r="M1033" s="84">
        <v>0</v>
      </c>
      <c r="N1033" s="84">
        <v>0</v>
      </c>
    </row>
    <row r="1034" spans="1:14" x14ac:dyDescent="0.25">
      <c r="A1034" s="74" t="s">
        <v>2800</v>
      </c>
      <c r="B1034" s="74">
        <v>5821</v>
      </c>
      <c r="C1034" t="e">
        <f>VLOOKUP(B1034,'Waste Lookups'!$B$1:$C$292,2,FALSE)</f>
        <v>#N/A</v>
      </c>
      <c r="D1034" s="84">
        <v>0</v>
      </c>
      <c r="E1034" s="84">
        <v>108.9163636363636</v>
      </c>
      <c r="F1034" s="84">
        <v>0</v>
      </c>
      <c r="G1034" s="84">
        <v>0</v>
      </c>
      <c r="H1034" s="84">
        <v>0</v>
      </c>
      <c r="I1034" s="84"/>
      <c r="J1034" s="84">
        <v>0</v>
      </c>
      <c r="K1034" s="84">
        <v>1026.48</v>
      </c>
      <c r="L1034" s="84">
        <v>0</v>
      </c>
      <c r="M1034" s="84">
        <v>0</v>
      </c>
      <c r="N1034" s="84">
        <v>0</v>
      </c>
    </row>
    <row r="1035" spans="1:14" x14ac:dyDescent="0.25">
      <c r="A1035" s="74" t="s">
        <v>2802</v>
      </c>
      <c r="B1035" s="74">
        <v>5824</v>
      </c>
      <c r="C1035" t="e">
        <f>VLOOKUP(B1035,'Waste Lookups'!$B$1:$C$292,2,FALSE)</f>
        <v>#N/A</v>
      </c>
      <c r="D1035" s="84">
        <v>0</v>
      </c>
      <c r="E1035" s="84">
        <v>2103.0436363636363</v>
      </c>
      <c r="F1035" s="84">
        <v>0</v>
      </c>
      <c r="G1035" s="84">
        <v>294.51272727272732</v>
      </c>
      <c r="H1035" s="84">
        <v>0</v>
      </c>
      <c r="I1035" s="84"/>
      <c r="J1035" s="84">
        <v>0</v>
      </c>
      <c r="K1035" s="84">
        <v>1112.2580608437681</v>
      </c>
      <c r="L1035" s="84">
        <v>0</v>
      </c>
      <c r="M1035" s="84">
        <v>155.76193915623185</v>
      </c>
      <c r="N1035" s="84">
        <v>0</v>
      </c>
    </row>
    <row r="1036" spans="1:14" x14ac:dyDescent="0.25">
      <c r="A1036" s="74" t="s">
        <v>2804</v>
      </c>
      <c r="B1036" s="74">
        <v>5825</v>
      </c>
      <c r="C1036" t="e">
        <f>VLOOKUP(B1036,'Waste Lookups'!$B$1:$C$292,2,FALSE)</f>
        <v>#N/A</v>
      </c>
      <c r="D1036" s="84">
        <v>0</v>
      </c>
      <c r="E1036" s="84">
        <v>1096.8</v>
      </c>
      <c r="F1036" s="84">
        <v>0</v>
      </c>
      <c r="G1036" s="84">
        <v>0</v>
      </c>
      <c r="H1036" s="84">
        <v>0</v>
      </c>
      <c r="I1036" s="84"/>
      <c r="J1036" s="84">
        <v>0</v>
      </c>
      <c r="K1036" s="84">
        <v>1096.9000000000001</v>
      </c>
      <c r="L1036" s="84">
        <v>0</v>
      </c>
      <c r="M1036" s="84">
        <v>0</v>
      </c>
      <c r="N1036" s="84">
        <v>0</v>
      </c>
    </row>
    <row r="1037" spans="1:14" x14ac:dyDescent="0.25">
      <c r="A1037" s="74" t="s">
        <v>2806</v>
      </c>
      <c r="B1037" s="74">
        <v>5871</v>
      </c>
      <c r="C1037" t="e">
        <f>VLOOKUP(B1037,'Waste Lookups'!$B$1:$C$292,2,FALSE)</f>
        <v>#N/A</v>
      </c>
      <c r="D1037" s="84">
        <v>0</v>
      </c>
      <c r="E1037" s="84">
        <v>172.13454545454545</v>
      </c>
      <c r="F1037" s="84">
        <v>0</v>
      </c>
      <c r="G1037" s="84">
        <v>195.1090909090909</v>
      </c>
      <c r="H1037" s="84">
        <v>0</v>
      </c>
      <c r="I1037" s="84"/>
      <c r="J1037" s="84">
        <v>0</v>
      </c>
      <c r="K1037" s="84">
        <v>77.97630822243346</v>
      </c>
      <c r="L1037" s="84">
        <v>0</v>
      </c>
      <c r="M1037" s="84">
        <v>88.38369177756654</v>
      </c>
      <c r="N1037" s="84">
        <v>0</v>
      </c>
    </row>
    <row r="1038" spans="1:14" x14ac:dyDescent="0.25">
      <c r="A1038" s="74" t="s">
        <v>781</v>
      </c>
      <c r="B1038" s="74">
        <v>5872</v>
      </c>
      <c r="C1038" t="str">
        <f>VLOOKUP(B1038,'Waste Lookups'!$B$1:$C$292,2,FALSE)</f>
        <v>Peterborough City Care Centre</v>
      </c>
      <c r="D1038" s="84">
        <v>0</v>
      </c>
      <c r="E1038" s="84">
        <v>0</v>
      </c>
      <c r="F1038" s="84">
        <v>0</v>
      </c>
      <c r="G1038" s="84">
        <v>0</v>
      </c>
      <c r="H1038" s="84">
        <v>0</v>
      </c>
      <c r="I1038" s="84"/>
      <c r="J1038" s="84">
        <v>0</v>
      </c>
      <c r="K1038" s="84">
        <v>0</v>
      </c>
      <c r="L1038" s="84">
        <v>0</v>
      </c>
      <c r="M1038" s="84">
        <v>0</v>
      </c>
      <c r="N1038" s="84">
        <v>0</v>
      </c>
    </row>
    <row r="1039" spans="1:14" x14ac:dyDescent="0.25">
      <c r="A1039" s="74" t="s">
        <v>2809</v>
      </c>
      <c r="B1039" s="74">
        <v>5873</v>
      </c>
      <c r="C1039" t="e">
        <f>VLOOKUP(B1039,'Waste Lookups'!$B$1:$C$292,2,FALSE)</f>
        <v>#N/A</v>
      </c>
      <c r="D1039" s="84">
        <v>0</v>
      </c>
      <c r="E1039" s="84">
        <v>22.658181818181816</v>
      </c>
      <c r="F1039" s="84">
        <v>0</v>
      </c>
      <c r="G1039" s="84">
        <v>26.18181818181818</v>
      </c>
      <c r="H1039" s="84">
        <v>0</v>
      </c>
      <c r="I1039" s="84"/>
      <c r="J1039" s="84">
        <v>0</v>
      </c>
      <c r="K1039" s="84">
        <v>157.80931874022784</v>
      </c>
      <c r="L1039" s="84">
        <v>0</v>
      </c>
      <c r="M1039" s="84">
        <v>182.35068125977216</v>
      </c>
      <c r="N1039" s="84">
        <v>0</v>
      </c>
    </row>
    <row r="1040" spans="1:14" x14ac:dyDescent="0.25">
      <c r="A1040" s="74" t="s">
        <v>2811</v>
      </c>
      <c r="B1040" s="74">
        <v>5874</v>
      </c>
      <c r="C1040" t="e">
        <f>VLOOKUP(B1040,'Waste Lookups'!$B$1:$C$292,2,FALSE)</f>
        <v>#N/A</v>
      </c>
      <c r="D1040" s="84">
        <v>0</v>
      </c>
      <c r="E1040" s="84">
        <v>312.21818181818179</v>
      </c>
      <c r="F1040" s="84">
        <v>0</v>
      </c>
      <c r="G1040" s="84">
        <v>300.46909090909094</v>
      </c>
      <c r="H1040" s="84">
        <v>0</v>
      </c>
      <c r="I1040" s="84"/>
      <c r="J1040" s="84">
        <v>0</v>
      </c>
      <c r="K1040" s="84">
        <v>83.297281128144846</v>
      </c>
      <c r="L1040" s="84">
        <v>0</v>
      </c>
      <c r="M1040" s="84">
        <v>80.162718871855134</v>
      </c>
      <c r="N1040" s="84">
        <v>0</v>
      </c>
    </row>
    <row r="1041" spans="1:14" x14ac:dyDescent="0.25">
      <c r="A1041" s="74" t="s">
        <v>2813</v>
      </c>
      <c r="B1041" s="74">
        <v>5876</v>
      </c>
      <c r="C1041" t="e">
        <f>VLOOKUP(B1041,'Waste Lookups'!$B$1:$C$292,2,FALSE)</f>
        <v>#N/A</v>
      </c>
      <c r="D1041" s="84">
        <v>0</v>
      </c>
      <c r="E1041" s="84">
        <v>191.26909090909092</v>
      </c>
      <c r="F1041" s="84">
        <v>0</v>
      </c>
      <c r="G1041" s="84">
        <v>95.683636363636353</v>
      </c>
      <c r="H1041" s="84">
        <v>0</v>
      </c>
      <c r="I1041" s="84"/>
      <c r="J1041" s="84">
        <v>0</v>
      </c>
      <c r="K1041" s="84">
        <v>67.255158911192225</v>
      </c>
      <c r="L1041" s="84">
        <v>0</v>
      </c>
      <c r="M1041" s="84">
        <v>33.64484108880778</v>
      </c>
      <c r="N1041" s="84">
        <v>0</v>
      </c>
    </row>
    <row r="1042" spans="1:14" x14ac:dyDescent="0.25">
      <c r="A1042" s="74" t="s">
        <v>2815</v>
      </c>
      <c r="B1042" s="74">
        <v>5880</v>
      </c>
      <c r="C1042" t="e">
        <f>VLOOKUP(B1042,'Waste Lookups'!$B$1:$C$292,2,FALSE)</f>
        <v>#N/A</v>
      </c>
      <c r="D1042" s="84">
        <v>0</v>
      </c>
      <c r="E1042" s="84">
        <v>34.483636363636364</v>
      </c>
      <c r="F1042" s="84">
        <v>0</v>
      </c>
      <c r="G1042" s="84">
        <v>0</v>
      </c>
      <c r="H1042" s="84">
        <v>0</v>
      </c>
      <c r="I1042" s="84"/>
      <c r="J1042" s="84">
        <v>0</v>
      </c>
      <c r="K1042" s="84">
        <v>1196.3699999999999</v>
      </c>
      <c r="L1042" s="84">
        <v>0</v>
      </c>
      <c r="M1042" s="84">
        <v>0</v>
      </c>
      <c r="N1042" s="84">
        <v>0</v>
      </c>
    </row>
    <row r="1043" spans="1:14" x14ac:dyDescent="0.25">
      <c r="A1043" s="74" t="s">
        <v>670</v>
      </c>
      <c r="B1043" s="74">
        <v>5902</v>
      </c>
      <c r="C1043" t="str">
        <f>VLOOKUP(B1043,'Waste Lookups'!$B$1:$C$292,2,FALSE)</f>
        <v>Beccles HQ &amp; Warehouse</v>
      </c>
      <c r="D1043" s="84">
        <v>0</v>
      </c>
      <c r="E1043" s="84">
        <v>5379.9163636363637</v>
      </c>
      <c r="F1043" s="84">
        <v>0</v>
      </c>
      <c r="G1043" s="84">
        <v>226.90909090909093</v>
      </c>
      <c r="H1043" s="84">
        <v>0</v>
      </c>
      <c r="I1043" s="84"/>
      <c r="J1043" s="84">
        <v>0</v>
      </c>
      <c r="K1043" s="84">
        <v>7251.3205692282845</v>
      </c>
      <c r="L1043" s="84">
        <v>0</v>
      </c>
      <c r="M1043" s="84">
        <v>305.83943077171529</v>
      </c>
      <c r="N1043" s="84">
        <v>0</v>
      </c>
    </row>
    <row r="1044" spans="1:14" x14ac:dyDescent="0.25">
      <c r="A1044" s="74" t="s">
        <v>2818</v>
      </c>
      <c r="B1044" s="74">
        <v>5906</v>
      </c>
      <c r="C1044" t="e">
        <f>VLOOKUP(B1044,'Waste Lookups'!$B$1:$C$292,2,FALSE)</f>
        <v>#N/A</v>
      </c>
      <c r="D1044" s="84">
        <v>0</v>
      </c>
      <c r="E1044" s="84">
        <v>22164</v>
      </c>
      <c r="F1044" s="84">
        <v>0</v>
      </c>
      <c r="G1044" s="84">
        <v>0</v>
      </c>
      <c r="H1044" s="84">
        <v>0</v>
      </c>
      <c r="I1044" s="84"/>
      <c r="J1044" s="84">
        <v>0</v>
      </c>
      <c r="K1044" s="84">
        <v>0</v>
      </c>
      <c r="L1044" s="84">
        <v>0</v>
      </c>
      <c r="M1044" s="84">
        <v>0</v>
      </c>
      <c r="N1044" s="84">
        <v>0</v>
      </c>
    </row>
    <row r="1045" spans="1:14" x14ac:dyDescent="0.25">
      <c r="A1045" s="74" t="s">
        <v>2820</v>
      </c>
      <c r="B1045" s="74">
        <v>5907</v>
      </c>
      <c r="C1045" t="e">
        <f>VLOOKUP(B1045,'Waste Lookups'!$B$1:$C$292,2,FALSE)</f>
        <v>#N/A</v>
      </c>
      <c r="D1045" s="84">
        <v>0</v>
      </c>
      <c r="E1045" s="84">
        <v>10408.363636363636</v>
      </c>
      <c r="F1045" s="84">
        <v>0</v>
      </c>
      <c r="G1045" s="84">
        <v>0</v>
      </c>
      <c r="H1045" s="84">
        <v>0</v>
      </c>
      <c r="I1045" s="84"/>
      <c r="J1045" s="84">
        <v>0</v>
      </c>
      <c r="K1045" s="84">
        <v>0</v>
      </c>
      <c r="L1045" s="84">
        <v>0</v>
      </c>
      <c r="M1045" s="84">
        <v>0</v>
      </c>
      <c r="N1045" s="84">
        <v>0</v>
      </c>
    </row>
    <row r="1046" spans="1:14" x14ac:dyDescent="0.25">
      <c r="A1046" s="74" t="s">
        <v>2822</v>
      </c>
      <c r="B1046" s="74">
        <v>5927</v>
      </c>
      <c r="C1046" t="e">
        <f>VLOOKUP(B1046,'Waste Lookups'!$B$1:$C$292,2,FALSE)</f>
        <v>#N/A</v>
      </c>
      <c r="D1046" s="84">
        <v>0</v>
      </c>
      <c r="E1046" s="84">
        <v>0</v>
      </c>
      <c r="F1046" s="84">
        <v>0</v>
      </c>
      <c r="G1046" s="84">
        <v>0</v>
      </c>
      <c r="H1046" s="84">
        <v>0</v>
      </c>
      <c r="I1046" s="84"/>
      <c r="J1046" s="84">
        <v>0</v>
      </c>
      <c r="K1046" s="84">
        <v>0</v>
      </c>
      <c r="L1046" s="84">
        <v>0</v>
      </c>
      <c r="M1046" s="84">
        <v>0</v>
      </c>
      <c r="N1046" s="84">
        <v>0</v>
      </c>
    </row>
    <row r="1047" spans="1:14" x14ac:dyDescent="0.25">
      <c r="A1047" s="74" t="s">
        <v>2824</v>
      </c>
      <c r="B1047" s="74">
        <v>5930</v>
      </c>
      <c r="C1047" t="e">
        <f>VLOOKUP(B1047,'Waste Lookups'!$B$1:$C$292,2,FALSE)</f>
        <v>#N/A</v>
      </c>
      <c r="D1047" s="84">
        <v>404.24727272727273</v>
      </c>
      <c r="E1047" s="84">
        <v>1049.5636363636363</v>
      </c>
      <c r="F1047" s="84">
        <v>0</v>
      </c>
      <c r="G1047" s="84">
        <v>0</v>
      </c>
      <c r="H1047" s="84">
        <v>0</v>
      </c>
      <c r="I1047" s="84"/>
      <c r="J1047" s="84">
        <v>0</v>
      </c>
      <c r="K1047" s="84">
        <v>0</v>
      </c>
      <c r="L1047" s="84">
        <v>0</v>
      </c>
      <c r="M1047" s="84">
        <v>0</v>
      </c>
      <c r="N1047" s="84">
        <v>0</v>
      </c>
    </row>
    <row r="1048" spans="1:14" x14ac:dyDescent="0.25">
      <c r="A1048" s="74" t="s">
        <v>2826</v>
      </c>
      <c r="B1048" s="74">
        <v>5945</v>
      </c>
      <c r="C1048" t="e">
        <f>VLOOKUP(B1048,'Waste Lookups'!$B$1:$C$292,2,FALSE)</f>
        <v>#N/A</v>
      </c>
      <c r="D1048" s="84">
        <v>1581.7636363636364</v>
      </c>
      <c r="E1048" s="84">
        <v>0</v>
      </c>
      <c r="F1048" s="84">
        <v>0</v>
      </c>
      <c r="G1048" s="84">
        <v>0</v>
      </c>
      <c r="H1048" s="84">
        <v>0</v>
      </c>
      <c r="I1048" s="84"/>
      <c r="J1048" s="84">
        <v>1336.07</v>
      </c>
      <c r="K1048" s="84">
        <v>0</v>
      </c>
      <c r="L1048" s="84">
        <v>0</v>
      </c>
      <c r="M1048" s="84">
        <v>0</v>
      </c>
      <c r="N1048" s="84">
        <v>0</v>
      </c>
    </row>
    <row r="1049" spans="1:14" x14ac:dyDescent="0.25">
      <c r="A1049" s="74" t="s">
        <v>2828</v>
      </c>
      <c r="B1049" s="74">
        <v>5946</v>
      </c>
      <c r="C1049" t="e">
        <f>VLOOKUP(B1049,'Waste Lookups'!$B$1:$C$292,2,FALSE)</f>
        <v>#N/A</v>
      </c>
      <c r="D1049" s="84">
        <v>3578.9127272727274</v>
      </c>
      <c r="E1049" s="84">
        <v>1288.5818181818183</v>
      </c>
      <c r="F1049" s="84">
        <v>0</v>
      </c>
      <c r="G1049" s="84">
        <v>150.72</v>
      </c>
      <c r="H1049" s="84">
        <v>0</v>
      </c>
      <c r="I1049" s="84"/>
      <c r="J1049" s="84">
        <v>2749.9109787110083</v>
      </c>
      <c r="K1049" s="84">
        <v>990.10106108003652</v>
      </c>
      <c r="L1049" s="84">
        <v>0</v>
      </c>
      <c r="M1049" s="84">
        <v>115.80796020895514</v>
      </c>
      <c r="N1049" s="84">
        <v>0</v>
      </c>
    </row>
    <row r="1050" spans="1:14" x14ac:dyDescent="0.25">
      <c r="A1050" s="74" t="s">
        <v>2830</v>
      </c>
      <c r="B1050" s="74">
        <v>5947</v>
      </c>
      <c r="C1050" t="e">
        <f>VLOOKUP(B1050,'Waste Lookups'!$B$1:$C$292,2,FALSE)</f>
        <v>#N/A</v>
      </c>
      <c r="D1050" s="84">
        <v>3482.2799999999997</v>
      </c>
      <c r="E1050" s="84">
        <v>918.50181818181818</v>
      </c>
      <c r="F1050" s="84">
        <v>0</v>
      </c>
      <c r="G1050" s="84">
        <v>0</v>
      </c>
      <c r="H1050" s="84">
        <v>0</v>
      </c>
      <c r="I1050" s="84"/>
      <c r="J1050" s="84">
        <v>3285.904947856372</v>
      </c>
      <c r="K1050" s="84">
        <v>866.70505214362731</v>
      </c>
      <c r="L1050" s="84">
        <v>0</v>
      </c>
      <c r="M1050" s="84">
        <v>0</v>
      </c>
      <c r="N1050" s="84">
        <v>0</v>
      </c>
    </row>
    <row r="1051" spans="1:14" x14ac:dyDescent="0.25">
      <c r="A1051" s="74" t="s">
        <v>2832</v>
      </c>
      <c r="B1051" s="74">
        <v>5948</v>
      </c>
      <c r="C1051" t="e">
        <f>VLOOKUP(B1051,'Waste Lookups'!$B$1:$C$292,2,FALSE)</f>
        <v>#N/A</v>
      </c>
      <c r="D1051" s="84">
        <v>11878.2</v>
      </c>
      <c r="E1051" s="84">
        <v>1118.1818181818182</v>
      </c>
      <c r="F1051" s="84">
        <v>0</v>
      </c>
      <c r="G1051" s="84">
        <v>0</v>
      </c>
      <c r="H1051" s="84">
        <v>0</v>
      </c>
      <c r="I1051" s="84"/>
      <c r="J1051" s="84">
        <v>8826.9633938816551</v>
      </c>
      <c r="K1051" s="84">
        <v>830.94660611834627</v>
      </c>
      <c r="L1051" s="84">
        <v>0</v>
      </c>
      <c r="M1051" s="84">
        <v>0</v>
      </c>
      <c r="N1051" s="84">
        <v>0</v>
      </c>
    </row>
    <row r="1052" spans="1:14" x14ac:dyDescent="0.25">
      <c r="A1052" s="74" t="s">
        <v>2834</v>
      </c>
      <c r="B1052" s="74">
        <v>5952</v>
      </c>
      <c r="C1052" t="e">
        <f>VLOOKUP(B1052,'Waste Lookups'!$B$1:$C$292,2,FALSE)</f>
        <v>#N/A</v>
      </c>
      <c r="D1052" s="84">
        <v>3498.2509090909089</v>
      </c>
      <c r="E1052" s="84">
        <v>1092.2181818181818</v>
      </c>
      <c r="F1052" s="84">
        <v>0</v>
      </c>
      <c r="G1052" s="84">
        <v>150.72</v>
      </c>
      <c r="H1052" s="84">
        <v>0</v>
      </c>
      <c r="I1052" s="84"/>
      <c r="J1052" s="84">
        <v>2666.2529752950354</v>
      </c>
      <c r="K1052" s="84">
        <v>832.45314662144597</v>
      </c>
      <c r="L1052" s="84">
        <v>0</v>
      </c>
      <c r="M1052" s="84">
        <v>114.87387808351876</v>
      </c>
      <c r="N1052" s="84">
        <v>0</v>
      </c>
    </row>
    <row r="1053" spans="1:14" x14ac:dyDescent="0.25">
      <c r="A1053" s="74" t="s">
        <v>2836</v>
      </c>
      <c r="B1053" s="74">
        <v>5955</v>
      </c>
      <c r="C1053" t="e">
        <f>VLOOKUP(B1053,'Waste Lookups'!$B$1:$C$292,2,FALSE)</f>
        <v>#N/A</v>
      </c>
      <c r="D1053" s="84">
        <v>6334.1454545454544</v>
      </c>
      <c r="E1053" s="84">
        <v>1010.8799999999999</v>
      </c>
      <c r="F1053" s="84">
        <v>0</v>
      </c>
      <c r="G1053" s="84">
        <v>150.72</v>
      </c>
      <c r="H1053" s="84">
        <v>0</v>
      </c>
      <c r="I1053" s="84"/>
      <c r="J1053" s="84">
        <v>4423.9373534077504</v>
      </c>
      <c r="K1053" s="84">
        <v>706.02574947242783</v>
      </c>
      <c r="L1053" s="84">
        <v>0</v>
      </c>
      <c r="M1053" s="84">
        <v>105.26689711982068</v>
      </c>
      <c r="N1053" s="84">
        <v>0</v>
      </c>
    </row>
    <row r="1054" spans="1:14" x14ac:dyDescent="0.25">
      <c r="A1054" s="74" t="s">
        <v>2838</v>
      </c>
      <c r="B1054" s="74">
        <v>5959</v>
      </c>
      <c r="C1054" t="e">
        <f>VLOOKUP(B1054,'Waste Lookups'!$B$1:$C$292,2,FALSE)</f>
        <v>#N/A</v>
      </c>
      <c r="D1054" s="84">
        <v>0</v>
      </c>
      <c r="E1054" s="84">
        <v>5332.1454545454544</v>
      </c>
      <c r="F1054" s="84">
        <v>0</v>
      </c>
      <c r="G1054" s="84">
        <v>301.44</v>
      </c>
      <c r="H1054" s="84">
        <v>0</v>
      </c>
      <c r="I1054" s="84"/>
      <c r="J1054" s="84">
        <v>0</v>
      </c>
      <c r="K1054" s="84">
        <v>3498.9739363144158</v>
      </c>
      <c r="L1054" s="84">
        <v>0</v>
      </c>
      <c r="M1054" s="84">
        <v>197.80606368558441</v>
      </c>
      <c r="N1054" s="84">
        <v>0</v>
      </c>
    </row>
    <row r="1055" spans="1:14" x14ac:dyDescent="0.25">
      <c r="A1055" s="74" t="s">
        <v>2840</v>
      </c>
      <c r="B1055" s="74">
        <v>5967</v>
      </c>
      <c r="C1055" t="e">
        <f>VLOOKUP(B1055,'Waste Lookups'!$B$1:$C$292,2,FALSE)</f>
        <v>#N/A</v>
      </c>
      <c r="D1055" s="84">
        <v>2776.8654545454547</v>
      </c>
      <c r="E1055" s="84">
        <v>848.76</v>
      </c>
      <c r="F1055" s="84">
        <v>0</v>
      </c>
      <c r="G1055" s="84">
        <v>91.756363636363631</v>
      </c>
      <c r="H1055" s="84">
        <v>0</v>
      </c>
      <c r="I1055" s="84"/>
      <c r="J1055" s="84">
        <v>1880.3356943303202</v>
      </c>
      <c r="K1055" s="84">
        <v>574.7321035332784</v>
      </c>
      <c r="L1055" s="84">
        <v>0</v>
      </c>
      <c r="M1055" s="84">
        <v>62.132202136400963</v>
      </c>
      <c r="N1055" s="84">
        <v>0</v>
      </c>
    </row>
    <row r="1056" spans="1:14" x14ac:dyDescent="0.25">
      <c r="A1056" s="74" t="s">
        <v>2842</v>
      </c>
      <c r="B1056" s="74">
        <v>5968</v>
      </c>
      <c r="C1056" t="e">
        <f>VLOOKUP(B1056,'Waste Lookups'!$B$1:$C$292,2,FALSE)</f>
        <v>#N/A</v>
      </c>
      <c r="D1056" s="84">
        <v>7124.727272727273</v>
      </c>
      <c r="E1056" s="84">
        <v>1010.8799999999999</v>
      </c>
      <c r="F1056" s="84">
        <v>0</v>
      </c>
      <c r="G1056" s="84">
        <v>150.72</v>
      </c>
      <c r="H1056" s="84">
        <v>0</v>
      </c>
      <c r="I1056" s="84"/>
      <c r="J1056" s="84">
        <v>5538.444142815767</v>
      </c>
      <c r="K1056" s="84">
        <v>785.81287406198157</v>
      </c>
      <c r="L1056" s="84">
        <v>0</v>
      </c>
      <c r="M1056" s="84">
        <v>117.16298312225177</v>
      </c>
      <c r="N1056" s="84">
        <v>0</v>
      </c>
    </row>
    <row r="1057" spans="1:14" x14ac:dyDescent="0.25">
      <c r="A1057" s="74" t="s">
        <v>2844</v>
      </c>
      <c r="B1057" s="74">
        <v>5969</v>
      </c>
      <c r="C1057" t="e">
        <f>VLOOKUP(B1057,'Waste Lookups'!$B$1:$C$292,2,FALSE)</f>
        <v>#N/A</v>
      </c>
      <c r="D1057" s="84">
        <v>3364.3854545454546</v>
      </c>
      <c r="E1057" s="84">
        <v>1436.9018181818183</v>
      </c>
      <c r="F1057" s="84">
        <v>0</v>
      </c>
      <c r="G1057" s="84">
        <v>188.39999999999998</v>
      </c>
      <c r="H1057" s="84">
        <v>0</v>
      </c>
      <c r="I1057" s="84"/>
      <c r="J1057" s="84">
        <v>2510.8586575511381</v>
      </c>
      <c r="K1057" s="84">
        <v>1072.3674260802645</v>
      </c>
      <c r="L1057" s="84">
        <v>0</v>
      </c>
      <c r="M1057" s="84">
        <v>140.60391636859731</v>
      </c>
      <c r="N1057" s="84">
        <v>0</v>
      </c>
    </row>
    <row r="1058" spans="1:14" x14ac:dyDescent="0.25">
      <c r="A1058" s="74" t="s">
        <v>2846</v>
      </c>
      <c r="B1058" s="74">
        <v>5972</v>
      </c>
      <c r="C1058" t="e">
        <f>VLOOKUP(B1058,'Waste Lookups'!$B$1:$C$292,2,FALSE)</f>
        <v>#N/A</v>
      </c>
      <c r="D1058" s="84">
        <v>6174.9927272727273</v>
      </c>
      <c r="E1058" s="84">
        <v>2287.2654545454543</v>
      </c>
      <c r="F1058" s="84">
        <v>0</v>
      </c>
      <c r="G1058" s="84">
        <v>339.12</v>
      </c>
      <c r="H1058" s="84">
        <v>0</v>
      </c>
      <c r="I1058" s="84"/>
      <c r="J1058" s="84">
        <v>6862.2683138921611</v>
      </c>
      <c r="K1058" s="84">
        <v>2541.8376907335582</v>
      </c>
      <c r="L1058" s="84">
        <v>0</v>
      </c>
      <c r="M1058" s="84">
        <v>376.86399537427809</v>
      </c>
      <c r="N1058" s="84">
        <v>0</v>
      </c>
    </row>
    <row r="1059" spans="1:14" x14ac:dyDescent="0.25">
      <c r="A1059" s="74" t="s">
        <v>2848</v>
      </c>
      <c r="B1059" s="74">
        <v>5974</v>
      </c>
      <c r="C1059" t="e">
        <f>VLOOKUP(B1059,'Waste Lookups'!$B$1:$C$292,2,FALSE)</f>
        <v>#N/A</v>
      </c>
      <c r="D1059" s="84">
        <v>6449.3563636363633</v>
      </c>
      <c r="E1059" s="84">
        <v>1908.0436363636363</v>
      </c>
      <c r="F1059" s="84">
        <v>0</v>
      </c>
      <c r="G1059" s="84">
        <v>188.39999999999998</v>
      </c>
      <c r="H1059" s="84">
        <v>0</v>
      </c>
      <c r="I1059" s="84"/>
      <c r="J1059" s="84">
        <v>3546.0969928449704</v>
      </c>
      <c r="K1059" s="84">
        <v>1049.113650980067</v>
      </c>
      <c r="L1059" s="84">
        <v>0</v>
      </c>
      <c r="M1059" s="84">
        <v>103.58935617496314</v>
      </c>
      <c r="N1059" s="84">
        <v>0</v>
      </c>
    </row>
    <row r="1060" spans="1:14" x14ac:dyDescent="0.25">
      <c r="A1060" s="74" t="s">
        <v>2850</v>
      </c>
      <c r="B1060" s="74">
        <v>5975</v>
      </c>
      <c r="C1060" t="e">
        <f>VLOOKUP(B1060,'Waste Lookups'!$B$1:$C$292,2,FALSE)</f>
        <v>#N/A</v>
      </c>
      <c r="D1060" s="84">
        <v>4928.9236363636364</v>
      </c>
      <c r="E1060" s="84">
        <v>2411.3781818181815</v>
      </c>
      <c r="F1060" s="84">
        <v>0</v>
      </c>
      <c r="G1060" s="84">
        <v>0</v>
      </c>
      <c r="H1060" s="84">
        <v>0</v>
      </c>
      <c r="I1060" s="84"/>
      <c r="J1060" s="84">
        <v>4000.093533552993</v>
      </c>
      <c r="K1060" s="84">
        <v>1956.9664664470076</v>
      </c>
      <c r="L1060" s="84">
        <v>0</v>
      </c>
      <c r="M1060" s="84">
        <v>0</v>
      </c>
      <c r="N1060" s="84">
        <v>0</v>
      </c>
    </row>
    <row r="1061" spans="1:14" x14ac:dyDescent="0.25">
      <c r="A1061" s="74" t="s">
        <v>2852</v>
      </c>
      <c r="B1061" s="74">
        <v>5976</v>
      </c>
      <c r="C1061" t="e">
        <f>VLOOKUP(B1061,'Waste Lookups'!$B$1:$C$292,2,FALSE)</f>
        <v>#N/A</v>
      </c>
      <c r="D1061" s="84">
        <v>0</v>
      </c>
      <c r="E1061" s="84">
        <v>1011.48</v>
      </c>
      <c r="F1061" s="84">
        <v>0</v>
      </c>
      <c r="G1061" s="84">
        <v>150.72</v>
      </c>
      <c r="H1061" s="84">
        <v>0</v>
      </c>
      <c r="I1061" s="84"/>
      <c r="J1061" s="84">
        <v>0</v>
      </c>
      <c r="K1061" s="84">
        <v>811.42941249354681</v>
      </c>
      <c r="L1061" s="84">
        <v>0</v>
      </c>
      <c r="M1061" s="84">
        <v>120.91058750645328</v>
      </c>
      <c r="N1061" s="84">
        <v>0</v>
      </c>
    </row>
    <row r="1062" spans="1:14" x14ac:dyDescent="0.25">
      <c r="A1062" s="74" t="s">
        <v>2854</v>
      </c>
      <c r="B1062" s="74">
        <v>5977</v>
      </c>
      <c r="C1062" t="e">
        <f>VLOOKUP(B1062,'Waste Lookups'!$B$1:$C$292,2,FALSE)</f>
        <v>#N/A</v>
      </c>
      <c r="D1062" s="84">
        <v>0</v>
      </c>
      <c r="E1062" s="84">
        <v>726.45818181818174</v>
      </c>
      <c r="F1062" s="84">
        <v>0</v>
      </c>
      <c r="G1062" s="84">
        <v>0</v>
      </c>
      <c r="H1062" s="84">
        <v>0</v>
      </c>
      <c r="I1062" s="84"/>
      <c r="J1062" s="84">
        <v>0</v>
      </c>
      <c r="K1062" s="84">
        <v>642.61</v>
      </c>
      <c r="L1062" s="84">
        <v>0</v>
      </c>
      <c r="M1062" s="84">
        <v>0</v>
      </c>
      <c r="N1062" s="84">
        <v>0</v>
      </c>
    </row>
    <row r="1063" spans="1:14" x14ac:dyDescent="0.25">
      <c r="A1063" s="74" t="s">
        <v>2856</v>
      </c>
      <c r="B1063" s="74">
        <v>5978</v>
      </c>
      <c r="C1063" t="e">
        <f>VLOOKUP(B1063,'Waste Lookups'!$B$1:$C$292,2,FALSE)</f>
        <v>#N/A</v>
      </c>
      <c r="D1063" s="84">
        <v>11912.443636363636</v>
      </c>
      <c r="E1063" s="84">
        <v>1750.2654545454548</v>
      </c>
      <c r="F1063" s="84">
        <v>0</v>
      </c>
      <c r="G1063" s="84">
        <v>301.44</v>
      </c>
      <c r="H1063" s="84">
        <v>0</v>
      </c>
      <c r="I1063" s="84"/>
      <c r="J1063" s="84">
        <v>7663.9172615224279</v>
      </c>
      <c r="K1063" s="84">
        <v>1126.0401340653898</v>
      </c>
      <c r="L1063" s="84">
        <v>0</v>
      </c>
      <c r="M1063" s="84">
        <v>193.93260441218172</v>
      </c>
      <c r="N1063" s="84">
        <v>0</v>
      </c>
    </row>
    <row r="1064" spans="1:14" x14ac:dyDescent="0.25">
      <c r="A1064" s="74" t="s">
        <v>2858</v>
      </c>
      <c r="B1064" s="74">
        <v>5980</v>
      </c>
      <c r="C1064" t="e">
        <f>VLOOKUP(B1064,'Waste Lookups'!$B$1:$C$292,2,FALSE)</f>
        <v>#N/A</v>
      </c>
      <c r="D1064" s="84">
        <v>686.09454545454537</v>
      </c>
      <c r="E1064" s="84">
        <v>0</v>
      </c>
      <c r="F1064" s="84">
        <v>0</v>
      </c>
      <c r="G1064" s="84">
        <v>0</v>
      </c>
      <c r="H1064" s="84">
        <v>0</v>
      </c>
      <c r="I1064" s="84"/>
      <c r="J1064" s="84">
        <v>529.98</v>
      </c>
      <c r="K1064" s="84">
        <v>0</v>
      </c>
      <c r="L1064" s="84">
        <v>0</v>
      </c>
      <c r="M1064" s="84">
        <v>0</v>
      </c>
      <c r="N1064" s="84">
        <v>0</v>
      </c>
    </row>
    <row r="1065" spans="1:14" x14ac:dyDescent="0.25">
      <c r="A1065" s="74" t="s">
        <v>2860</v>
      </c>
      <c r="B1065" s="74">
        <v>5981</v>
      </c>
      <c r="C1065" t="e">
        <f>VLOOKUP(B1065,'Waste Lookups'!$B$1:$C$292,2,FALSE)</f>
        <v>#N/A</v>
      </c>
      <c r="D1065" s="84">
        <v>8430.687272727273</v>
      </c>
      <c r="E1065" s="84">
        <v>1869.3163636363638</v>
      </c>
      <c r="F1065" s="84">
        <v>0</v>
      </c>
      <c r="G1065" s="84">
        <v>150.72</v>
      </c>
      <c r="H1065" s="84">
        <v>0</v>
      </c>
      <c r="I1065" s="84"/>
      <c r="J1065" s="84">
        <v>5695.7167483347821</v>
      </c>
      <c r="K1065" s="84">
        <v>1262.8978131762253</v>
      </c>
      <c r="L1065" s="84">
        <v>0</v>
      </c>
      <c r="M1065" s="84">
        <v>101.82543848899196</v>
      </c>
      <c r="N1065" s="84">
        <v>0</v>
      </c>
    </row>
    <row r="1066" spans="1:14" x14ac:dyDescent="0.25">
      <c r="A1066" s="74" t="s">
        <v>2862</v>
      </c>
      <c r="B1066" s="74">
        <v>5983</v>
      </c>
      <c r="C1066" t="e">
        <f>VLOOKUP(B1066,'Waste Lookups'!$B$1:$C$292,2,FALSE)</f>
        <v>#N/A</v>
      </c>
      <c r="D1066" s="84">
        <v>491.70545454545459</v>
      </c>
      <c r="E1066" s="84">
        <v>1501.3636363636363</v>
      </c>
      <c r="F1066" s="84">
        <v>0</v>
      </c>
      <c r="G1066" s="84">
        <v>0</v>
      </c>
      <c r="H1066" s="84">
        <v>0</v>
      </c>
      <c r="I1066" s="84"/>
      <c r="J1066" s="84">
        <v>272.13584226428316</v>
      </c>
      <c r="K1066" s="84">
        <v>830.93415773571678</v>
      </c>
      <c r="L1066" s="84">
        <v>0</v>
      </c>
      <c r="M1066" s="84">
        <v>0</v>
      </c>
      <c r="N1066" s="84">
        <v>0</v>
      </c>
    </row>
    <row r="1067" spans="1:14" x14ac:dyDescent="0.25">
      <c r="A1067" s="74" t="s">
        <v>2864</v>
      </c>
      <c r="B1067" s="74">
        <v>5986</v>
      </c>
      <c r="C1067" t="e">
        <f>VLOOKUP(B1067,'Waste Lookups'!$B$1:$C$292,2,FALSE)</f>
        <v>#N/A</v>
      </c>
      <c r="D1067" s="84">
        <v>5802.3927272727269</v>
      </c>
      <c r="E1067" s="84">
        <v>981.94909090909096</v>
      </c>
      <c r="F1067" s="84">
        <v>0</v>
      </c>
      <c r="G1067" s="84">
        <v>75.36</v>
      </c>
      <c r="H1067" s="84">
        <v>0</v>
      </c>
      <c r="I1067" s="84"/>
      <c r="J1067" s="84">
        <v>4474.8542958559556</v>
      </c>
      <c r="K1067" s="84">
        <v>757.28743542523455</v>
      </c>
      <c r="L1067" s="84">
        <v>0</v>
      </c>
      <c r="M1067" s="84">
        <v>58.118268718809944</v>
      </c>
      <c r="N1067" s="84">
        <v>0</v>
      </c>
    </row>
    <row r="1068" spans="1:14" x14ac:dyDescent="0.25">
      <c r="A1068" s="74" t="s">
        <v>2866</v>
      </c>
      <c r="B1068" s="74">
        <v>5987</v>
      </c>
      <c r="C1068" t="e">
        <f>VLOOKUP(B1068,'Waste Lookups'!$B$1:$C$292,2,FALSE)</f>
        <v>#N/A</v>
      </c>
      <c r="D1068" s="84">
        <v>1320.5563636363636</v>
      </c>
      <c r="E1068" s="84">
        <v>839.49818181818182</v>
      </c>
      <c r="F1068" s="84">
        <v>0</v>
      </c>
      <c r="G1068" s="84">
        <v>37.68</v>
      </c>
      <c r="H1068" s="84">
        <v>0</v>
      </c>
      <c r="I1068" s="84"/>
      <c r="J1068" s="84">
        <v>1108.3077425183287</v>
      </c>
      <c r="K1068" s="84">
        <v>704.56843824301723</v>
      </c>
      <c r="L1068" s="84">
        <v>0</v>
      </c>
      <c r="M1068" s="84">
        <v>31.623819238654022</v>
      </c>
      <c r="N1068" s="84">
        <v>0</v>
      </c>
    </row>
    <row r="1069" spans="1:14" x14ac:dyDescent="0.25">
      <c r="A1069" s="74" t="s">
        <v>2868</v>
      </c>
      <c r="B1069" s="74">
        <v>5994</v>
      </c>
      <c r="C1069" t="e">
        <f>VLOOKUP(B1069,'Waste Lookups'!$B$1:$C$292,2,FALSE)</f>
        <v>#N/A</v>
      </c>
      <c r="D1069" s="84">
        <v>10057.516363636363</v>
      </c>
      <c r="E1069" s="84">
        <v>3648.9818181818182</v>
      </c>
      <c r="F1069" s="84">
        <v>0</v>
      </c>
      <c r="G1069" s="84">
        <v>301.44</v>
      </c>
      <c r="H1069" s="84">
        <v>0</v>
      </c>
      <c r="I1069" s="84"/>
      <c r="J1069" s="84">
        <v>8873.0977295471166</v>
      </c>
      <c r="K1069" s="84">
        <v>3219.2612087743496</v>
      </c>
      <c r="L1069" s="84">
        <v>0</v>
      </c>
      <c r="M1069" s="84">
        <v>265.94106167853397</v>
      </c>
      <c r="N1069" s="84">
        <v>0</v>
      </c>
    </row>
    <row r="1070" spans="1:14" x14ac:dyDescent="0.25">
      <c r="A1070" s="74" t="s">
        <v>2870</v>
      </c>
      <c r="B1070" s="74">
        <v>5995</v>
      </c>
      <c r="C1070" t="e">
        <f>VLOOKUP(B1070,'Waste Lookups'!$B$1:$C$292,2,FALSE)</f>
        <v>#N/A</v>
      </c>
      <c r="D1070" s="84">
        <v>0</v>
      </c>
      <c r="E1070" s="84">
        <v>206.18181818181819</v>
      </c>
      <c r="F1070" s="84">
        <v>0</v>
      </c>
      <c r="G1070" s="84">
        <v>176.39999999999998</v>
      </c>
      <c r="H1070" s="84">
        <v>0</v>
      </c>
      <c r="I1070" s="84"/>
      <c r="J1070" s="84">
        <v>0</v>
      </c>
      <c r="K1070" s="84">
        <v>116.40718562874252</v>
      </c>
      <c r="L1070" s="84">
        <v>0</v>
      </c>
      <c r="M1070" s="84">
        <v>99.592814371257475</v>
      </c>
      <c r="N1070" s="84">
        <v>0</v>
      </c>
    </row>
    <row r="1071" spans="1:14" x14ac:dyDescent="0.25">
      <c r="A1071" s="74" t="s">
        <v>675</v>
      </c>
      <c r="B1071" s="74">
        <v>5997</v>
      </c>
      <c r="C1071" t="str">
        <f>VLOOKUP(B1071,'Waste Lookups'!$B$1:$C$292,2,FALSE)</f>
        <v>Phoenix House (Main Block)</v>
      </c>
      <c r="D1071" s="84">
        <v>125.91272727272727</v>
      </c>
      <c r="E1071" s="84">
        <v>0</v>
      </c>
      <c r="F1071" s="84">
        <v>0</v>
      </c>
      <c r="G1071" s="84">
        <v>0</v>
      </c>
      <c r="H1071" s="84">
        <v>0</v>
      </c>
      <c r="I1071" s="84"/>
      <c r="J1071" s="84">
        <v>5404.12</v>
      </c>
      <c r="K1071" s="84">
        <v>0</v>
      </c>
      <c r="L1071" s="84">
        <v>0</v>
      </c>
      <c r="M1071" s="84">
        <v>0</v>
      </c>
      <c r="N1071" s="84">
        <v>0</v>
      </c>
    </row>
    <row r="1072" spans="1:14" x14ac:dyDescent="0.25">
      <c r="A1072" s="74" t="s">
        <v>2873</v>
      </c>
      <c r="B1072" s="74">
        <v>6004</v>
      </c>
      <c r="C1072" t="e">
        <f>VLOOKUP(B1072,'Waste Lookups'!$B$1:$C$292,2,FALSE)</f>
        <v>#N/A</v>
      </c>
      <c r="D1072" s="84">
        <v>0</v>
      </c>
      <c r="E1072" s="84">
        <v>1539.1636363636367</v>
      </c>
      <c r="F1072" s="84">
        <v>0</v>
      </c>
      <c r="G1072" s="84">
        <v>150.72</v>
      </c>
      <c r="H1072" s="84">
        <v>0</v>
      </c>
      <c r="I1072" s="84"/>
      <c r="J1072" s="84">
        <v>0</v>
      </c>
      <c r="K1072" s="84">
        <v>4344.7478987256791</v>
      </c>
      <c r="L1072" s="84">
        <v>0</v>
      </c>
      <c r="M1072" s="84">
        <v>425.45210127432114</v>
      </c>
      <c r="N1072" s="84">
        <v>0</v>
      </c>
    </row>
    <row r="1073" spans="1:14" x14ac:dyDescent="0.25">
      <c r="A1073" s="74" t="s">
        <v>2875</v>
      </c>
      <c r="B1073" s="74">
        <v>6006</v>
      </c>
      <c r="C1073" t="e">
        <f>VLOOKUP(B1073,'Waste Lookups'!$B$1:$C$292,2,FALSE)</f>
        <v>#N/A</v>
      </c>
      <c r="D1073" s="84">
        <v>0</v>
      </c>
      <c r="E1073" s="84">
        <v>683.93454545454551</v>
      </c>
      <c r="F1073" s="84">
        <v>0</v>
      </c>
      <c r="G1073" s="84">
        <v>37.68</v>
      </c>
      <c r="H1073" s="84">
        <v>0</v>
      </c>
      <c r="I1073" s="84"/>
      <c r="J1073" s="84">
        <v>0</v>
      </c>
      <c r="K1073" s="84">
        <v>954.71205690270313</v>
      </c>
      <c r="L1073" s="84">
        <v>0</v>
      </c>
      <c r="M1073" s="84">
        <v>52.597943097296969</v>
      </c>
      <c r="N1073" s="84">
        <v>0</v>
      </c>
    </row>
    <row r="1074" spans="1:14" x14ac:dyDescent="0.25">
      <c r="A1074" s="74" t="s">
        <v>2877</v>
      </c>
      <c r="B1074" s="74">
        <v>6007</v>
      </c>
      <c r="C1074" t="e">
        <f>VLOOKUP(B1074,'Waste Lookups'!$B$1:$C$292,2,FALSE)</f>
        <v>#N/A</v>
      </c>
      <c r="D1074" s="84">
        <v>0.37090909090909091</v>
      </c>
      <c r="E1074" s="84">
        <v>2257.0036363636364</v>
      </c>
      <c r="F1074" s="84">
        <v>0</v>
      </c>
      <c r="G1074" s="84">
        <v>301.44</v>
      </c>
      <c r="H1074" s="84">
        <v>0</v>
      </c>
      <c r="I1074" s="84"/>
      <c r="J1074" s="84">
        <v>0.73958023175504561</v>
      </c>
      <c r="K1074" s="84">
        <v>4500.3892149489675</v>
      </c>
      <c r="L1074" s="84">
        <v>0</v>
      </c>
      <c r="M1074" s="84">
        <v>601.06120481927701</v>
      </c>
      <c r="N1074" s="84">
        <v>0</v>
      </c>
    </row>
    <row r="1075" spans="1:14" x14ac:dyDescent="0.25">
      <c r="A1075" s="74" t="s">
        <v>2879</v>
      </c>
      <c r="B1075" s="74">
        <v>6009</v>
      </c>
      <c r="C1075" t="e">
        <f>VLOOKUP(B1075,'Waste Lookups'!$B$1:$C$292,2,FALSE)</f>
        <v>#N/A</v>
      </c>
      <c r="D1075" s="84">
        <v>1777.4727272727273</v>
      </c>
      <c r="E1075" s="84">
        <v>1116.72</v>
      </c>
      <c r="F1075" s="84">
        <v>0</v>
      </c>
      <c r="G1075" s="84">
        <v>150.72</v>
      </c>
      <c r="H1075" s="84">
        <v>0</v>
      </c>
      <c r="I1075" s="84"/>
      <c r="J1075" s="84">
        <v>1662.4895792803736</v>
      </c>
      <c r="K1075" s="84">
        <v>1044.4803650082224</v>
      </c>
      <c r="L1075" s="84">
        <v>0</v>
      </c>
      <c r="M1075" s="84">
        <v>140.9700557114042</v>
      </c>
      <c r="N1075" s="84">
        <v>0</v>
      </c>
    </row>
    <row r="1076" spans="1:14" x14ac:dyDescent="0.25">
      <c r="A1076" s="74" t="s">
        <v>2881</v>
      </c>
      <c r="B1076" s="74">
        <v>6010</v>
      </c>
      <c r="C1076" t="e">
        <f>VLOOKUP(B1076,'Waste Lookups'!$B$1:$C$292,2,FALSE)</f>
        <v>#N/A</v>
      </c>
      <c r="D1076" s="84">
        <v>0</v>
      </c>
      <c r="E1076" s="84">
        <v>1251.2836363636363</v>
      </c>
      <c r="F1076" s="84">
        <v>0</v>
      </c>
      <c r="G1076" s="84">
        <v>150.72</v>
      </c>
      <c r="H1076" s="84">
        <v>0</v>
      </c>
      <c r="I1076" s="84"/>
      <c r="J1076" s="84">
        <v>0</v>
      </c>
      <c r="K1076" s="84">
        <v>3771.2448586568312</v>
      </c>
      <c r="L1076" s="84">
        <v>0</v>
      </c>
      <c r="M1076" s="84">
        <v>454.25514134316859</v>
      </c>
      <c r="N1076" s="84">
        <v>0</v>
      </c>
    </row>
    <row r="1077" spans="1:14" x14ac:dyDescent="0.25">
      <c r="A1077" s="74" t="s">
        <v>2883</v>
      </c>
      <c r="B1077" s="74">
        <v>6011</v>
      </c>
      <c r="C1077" t="e">
        <f>VLOOKUP(B1077,'Waste Lookups'!$B$1:$C$292,2,FALSE)</f>
        <v>#N/A</v>
      </c>
      <c r="D1077" s="84">
        <v>0</v>
      </c>
      <c r="E1077" s="84">
        <v>839.49818181818182</v>
      </c>
      <c r="F1077" s="84">
        <v>0</v>
      </c>
      <c r="G1077" s="84">
        <v>37.68</v>
      </c>
      <c r="H1077" s="84">
        <v>0</v>
      </c>
      <c r="I1077" s="84"/>
      <c r="J1077" s="84">
        <v>0</v>
      </c>
      <c r="K1077" s="84">
        <v>1495.1803882698239</v>
      </c>
      <c r="L1077" s="84">
        <v>0</v>
      </c>
      <c r="M1077" s="84">
        <v>67.109611730176113</v>
      </c>
      <c r="N1077" s="84">
        <v>0</v>
      </c>
    </row>
    <row r="1078" spans="1:14" x14ac:dyDescent="0.25">
      <c r="A1078" s="74" t="s">
        <v>2885</v>
      </c>
      <c r="B1078" s="74">
        <v>6012</v>
      </c>
      <c r="C1078" t="e">
        <f>VLOOKUP(B1078,'Waste Lookups'!$B$1:$C$292,2,FALSE)</f>
        <v>#N/A</v>
      </c>
      <c r="D1078" s="84">
        <v>3338.5199999999995</v>
      </c>
      <c r="E1078" s="84">
        <v>839.49818181818182</v>
      </c>
      <c r="F1078" s="84">
        <v>0</v>
      </c>
      <c r="G1078" s="84">
        <v>37.68</v>
      </c>
      <c r="H1078" s="84">
        <v>0</v>
      </c>
      <c r="I1078" s="84"/>
      <c r="J1078" s="84">
        <v>3195.341261880918</v>
      </c>
      <c r="K1078" s="84">
        <v>803.49471611302192</v>
      </c>
      <c r="L1078" s="84">
        <v>0</v>
      </c>
      <c r="M1078" s="84">
        <v>36.064022006060469</v>
      </c>
      <c r="N1078" s="84">
        <v>0</v>
      </c>
    </row>
    <row r="1079" spans="1:14" x14ac:dyDescent="0.25">
      <c r="A1079" s="74" t="s">
        <v>2887</v>
      </c>
      <c r="B1079" s="74">
        <v>6013</v>
      </c>
      <c r="C1079" t="e">
        <f>VLOOKUP(B1079,'Waste Lookups'!$B$1:$C$292,2,FALSE)</f>
        <v>#N/A</v>
      </c>
      <c r="D1079" s="84">
        <v>4263.1636363636362</v>
      </c>
      <c r="E1079" s="84">
        <v>1848.5781818181817</v>
      </c>
      <c r="F1079" s="84">
        <v>0</v>
      </c>
      <c r="G1079" s="84">
        <v>188.39999999999998</v>
      </c>
      <c r="H1079" s="84">
        <v>0</v>
      </c>
      <c r="I1079" s="84"/>
      <c r="J1079" s="84">
        <v>3352.4155156680458</v>
      </c>
      <c r="K1079" s="84">
        <v>1453.6627507779046</v>
      </c>
      <c r="L1079" s="84">
        <v>0</v>
      </c>
      <c r="M1079" s="84">
        <v>148.15173355404986</v>
      </c>
      <c r="N1079" s="84">
        <v>0</v>
      </c>
    </row>
    <row r="1080" spans="1:14" x14ac:dyDescent="0.25">
      <c r="A1080" s="74" t="s">
        <v>2889</v>
      </c>
      <c r="B1080" s="74">
        <v>6014</v>
      </c>
      <c r="C1080" t="e">
        <f>VLOOKUP(B1080,'Waste Lookups'!$B$1:$C$292,2,FALSE)</f>
        <v>#N/A</v>
      </c>
      <c r="D1080" s="84">
        <v>5478.36</v>
      </c>
      <c r="E1080" s="84">
        <v>723.79636363636371</v>
      </c>
      <c r="F1080" s="84">
        <v>0</v>
      </c>
      <c r="G1080" s="84">
        <v>37.68</v>
      </c>
      <c r="H1080" s="84">
        <v>0</v>
      </c>
      <c r="I1080" s="84"/>
      <c r="J1080" s="84">
        <v>4627.2284818657827</v>
      </c>
      <c r="K1080" s="84">
        <v>611.34557584552044</v>
      </c>
      <c r="L1080" s="84">
        <v>0</v>
      </c>
      <c r="M1080" s="84">
        <v>31.825942288696382</v>
      </c>
      <c r="N1080" s="84">
        <v>0</v>
      </c>
    </row>
    <row r="1081" spans="1:14" x14ac:dyDescent="0.25">
      <c r="A1081" s="74" t="s">
        <v>2891</v>
      </c>
      <c r="B1081" s="74">
        <v>6015</v>
      </c>
      <c r="C1081" t="e">
        <f>VLOOKUP(B1081,'Waste Lookups'!$B$1:$C$292,2,FALSE)</f>
        <v>#N/A</v>
      </c>
      <c r="D1081" s="84">
        <v>5280.2290909090907</v>
      </c>
      <c r="E1081" s="84">
        <v>1140.7527272727273</v>
      </c>
      <c r="F1081" s="84">
        <v>0</v>
      </c>
      <c r="G1081" s="84">
        <v>0</v>
      </c>
      <c r="H1081" s="84">
        <v>0</v>
      </c>
      <c r="I1081" s="84"/>
      <c r="J1081" s="84">
        <v>5134.188265498904</v>
      </c>
      <c r="K1081" s="84">
        <v>1109.2017345010959</v>
      </c>
      <c r="L1081" s="84">
        <v>0</v>
      </c>
      <c r="M1081" s="84">
        <v>0</v>
      </c>
      <c r="N1081" s="84">
        <v>0</v>
      </c>
    </row>
    <row r="1082" spans="1:14" x14ac:dyDescent="0.25">
      <c r="A1082" s="74" t="s">
        <v>2893</v>
      </c>
      <c r="B1082" s="74">
        <v>6016</v>
      </c>
      <c r="C1082" t="e">
        <f>VLOOKUP(B1082,'Waste Lookups'!$B$1:$C$292,2,FALSE)</f>
        <v>#N/A</v>
      </c>
      <c r="D1082" s="84">
        <v>10615.56</v>
      </c>
      <c r="E1082" s="84">
        <v>1248</v>
      </c>
      <c r="F1082" s="84">
        <v>0</v>
      </c>
      <c r="G1082" s="84">
        <v>0</v>
      </c>
      <c r="H1082" s="84">
        <v>0</v>
      </c>
      <c r="I1082" s="84"/>
      <c r="J1082" s="84">
        <v>6598.337798569738</v>
      </c>
      <c r="K1082" s="84">
        <v>775.72220143026209</v>
      </c>
      <c r="L1082" s="84">
        <v>0</v>
      </c>
      <c r="M1082" s="84">
        <v>0</v>
      </c>
      <c r="N1082" s="84">
        <v>0</v>
      </c>
    </row>
    <row r="1083" spans="1:14" x14ac:dyDescent="0.25">
      <c r="A1083" s="74" t="s">
        <v>2895</v>
      </c>
      <c r="B1083" s="74">
        <v>6020</v>
      </c>
      <c r="C1083" t="e">
        <f>VLOOKUP(B1083,'Waste Lookups'!$B$1:$C$292,2,FALSE)</f>
        <v>#N/A</v>
      </c>
      <c r="D1083" s="84">
        <v>0</v>
      </c>
      <c r="E1083" s="84">
        <v>0</v>
      </c>
      <c r="F1083" s="84">
        <v>0</v>
      </c>
      <c r="G1083" s="84">
        <v>0</v>
      </c>
      <c r="H1083" s="84">
        <v>177.38181818181818</v>
      </c>
      <c r="I1083" s="84"/>
      <c r="J1083" s="84">
        <v>0</v>
      </c>
      <c r="K1083" s="84">
        <v>0</v>
      </c>
      <c r="L1083" s="84">
        <v>0</v>
      </c>
      <c r="M1083" s="84">
        <v>0</v>
      </c>
      <c r="N1083" s="84">
        <v>0</v>
      </c>
    </row>
    <row r="1084" spans="1:14" x14ac:dyDescent="0.25">
      <c r="A1084" s="74" t="s">
        <v>2897</v>
      </c>
      <c r="B1084" s="74">
        <v>6043</v>
      </c>
      <c r="C1084" t="e">
        <f>VLOOKUP(B1084,'Waste Lookups'!$B$1:$C$292,2,FALSE)</f>
        <v>#N/A</v>
      </c>
      <c r="D1084" s="84">
        <v>439.5272727272727</v>
      </c>
      <c r="E1084" s="84">
        <v>1279.6363636363637</v>
      </c>
      <c r="F1084" s="84">
        <v>0</v>
      </c>
      <c r="G1084" s="84">
        <v>778.22181818181821</v>
      </c>
      <c r="H1084" s="84">
        <v>294.43636363636364</v>
      </c>
      <c r="I1084" s="84"/>
      <c r="J1084" s="84">
        <v>514.28917578746223</v>
      </c>
      <c r="K1084" s="84">
        <v>1497.2976003938777</v>
      </c>
      <c r="L1084" s="84">
        <v>0</v>
      </c>
      <c r="M1084" s="84">
        <v>910.59436418838914</v>
      </c>
      <c r="N1084" s="84">
        <v>344.51885963027075</v>
      </c>
    </row>
    <row r="1085" spans="1:14" x14ac:dyDescent="0.25">
      <c r="A1085" s="74" t="s">
        <v>673</v>
      </c>
      <c r="B1085" s="74">
        <v>6045</v>
      </c>
      <c r="C1085" t="str">
        <f>VLOOKUP(B1085,'Waste Lookups'!$B$1:$C$292,2,FALSE)</f>
        <v>Collingwood Road</v>
      </c>
      <c r="D1085" s="84">
        <v>0</v>
      </c>
      <c r="E1085" s="84">
        <v>6908.1709090909089</v>
      </c>
      <c r="F1085" s="84">
        <v>0</v>
      </c>
      <c r="G1085" s="84">
        <v>0</v>
      </c>
      <c r="H1085" s="84">
        <v>575.67272727272734</v>
      </c>
      <c r="I1085" s="84"/>
      <c r="J1085" s="84">
        <v>0</v>
      </c>
      <c r="K1085" s="84">
        <v>5882.0648921822858</v>
      </c>
      <c r="L1085" s="84">
        <v>0</v>
      </c>
      <c r="M1085" s="84">
        <v>0</v>
      </c>
      <c r="N1085" s="84">
        <v>490.16510781771348</v>
      </c>
    </row>
    <row r="1086" spans="1:14" x14ac:dyDescent="0.25">
      <c r="A1086" s="74" t="s">
        <v>2900</v>
      </c>
      <c r="B1086" s="74">
        <v>6046</v>
      </c>
      <c r="C1086" t="e">
        <f>VLOOKUP(B1086,'Waste Lookups'!$B$1:$C$292,2,FALSE)</f>
        <v>#N/A</v>
      </c>
      <c r="D1086" s="84">
        <v>132.50181818181818</v>
      </c>
      <c r="E1086" s="84">
        <v>283.92</v>
      </c>
      <c r="F1086" s="84">
        <v>0</v>
      </c>
      <c r="G1086" s="84">
        <v>0</v>
      </c>
      <c r="H1086" s="84">
        <v>209.45454545454544</v>
      </c>
      <c r="I1086" s="84"/>
      <c r="J1086" s="84">
        <v>236.68949069232377</v>
      </c>
      <c r="K1086" s="84">
        <v>507.16949487554905</v>
      </c>
      <c r="L1086" s="84">
        <v>0</v>
      </c>
      <c r="M1086" s="84">
        <v>0</v>
      </c>
      <c r="N1086" s="84">
        <v>374.15101443212711</v>
      </c>
    </row>
    <row r="1087" spans="1:14" x14ac:dyDescent="0.25">
      <c r="A1087" s="74" t="s">
        <v>2902</v>
      </c>
      <c r="B1087" s="74">
        <v>6049</v>
      </c>
      <c r="C1087" t="e">
        <f>VLOOKUP(B1087,'Waste Lookups'!$B$1:$C$292,2,FALSE)</f>
        <v>#N/A</v>
      </c>
      <c r="D1087" s="84">
        <v>24.949090909090909</v>
      </c>
      <c r="E1087" s="84">
        <v>0</v>
      </c>
      <c r="F1087" s="84">
        <v>0</v>
      </c>
      <c r="G1087" s="84">
        <v>0</v>
      </c>
      <c r="H1087" s="84">
        <v>447.70909090909083</v>
      </c>
      <c r="I1087" s="84"/>
      <c r="J1087" s="84">
        <v>32.168013940499002</v>
      </c>
      <c r="K1087" s="84">
        <v>0</v>
      </c>
      <c r="L1087" s="84">
        <v>0</v>
      </c>
      <c r="M1087" s="84">
        <v>0</v>
      </c>
      <c r="N1087" s="84">
        <v>577.25198605950095</v>
      </c>
    </row>
    <row r="1088" spans="1:14" x14ac:dyDescent="0.25">
      <c r="A1088" s="74" t="s">
        <v>2904</v>
      </c>
      <c r="B1088" s="74">
        <v>6050</v>
      </c>
      <c r="C1088" t="e">
        <f>VLOOKUP(B1088,'Waste Lookups'!$B$1:$C$292,2,FALSE)</f>
        <v>#N/A</v>
      </c>
      <c r="D1088" s="84">
        <v>3757.8654545454547</v>
      </c>
      <c r="E1088" s="84">
        <v>2386.909090909091</v>
      </c>
      <c r="F1088" s="84">
        <v>0</v>
      </c>
      <c r="G1088" s="84">
        <v>0</v>
      </c>
      <c r="H1088" s="84">
        <v>2473.0254545454545</v>
      </c>
      <c r="I1088" s="84"/>
      <c r="J1088" s="84">
        <v>1718.97336587064</v>
      </c>
      <c r="K1088" s="84">
        <v>1091.8520643319644</v>
      </c>
      <c r="L1088" s="84">
        <v>0</v>
      </c>
      <c r="M1088" s="84">
        <v>0</v>
      </c>
      <c r="N1088" s="84">
        <v>1131.2445697973963</v>
      </c>
    </row>
    <row r="1089" spans="1:14" x14ac:dyDescent="0.25">
      <c r="A1089" s="74" t="s">
        <v>2906</v>
      </c>
      <c r="B1089" s="74">
        <v>6051</v>
      </c>
      <c r="C1089" t="e">
        <f>VLOOKUP(B1089,'Waste Lookups'!$B$1:$C$292,2,FALSE)</f>
        <v>#N/A</v>
      </c>
      <c r="D1089" s="84">
        <v>2618.4218181818178</v>
      </c>
      <c r="E1089" s="84">
        <v>575.92363636363632</v>
      </c>
      <c r="F1089" s="84">
        <v>0</v>
      </c>
      <c r="G1089" s="84">
        <v>0</v>
      </c>
      <c r="H1089" s="84">
        <v>803.65090909090907</v>
      </c>
      <c r="I1089" s="84"/>
      <c r="J1089" s="84">
        <v>3066.6475999159579</v>
      </c>
      <c r="K1089" s="84">
        <v>674.51119790003895</v>
      </c>
      <c r="L1089" s="84">
        <v>0</v>
      </c>
      <c r="M1089" s="84">
        <v>0</v>
      </c>
      <c r="N1089" s="84">
        <v>941.22120218400312</v>
      </c>
    </row>
    <row r="1090" spans="1:14" x14ac:dyDescent="0.25">
      <c r="A1090" s="74" t="s">
        <v>2908</v>
      </c>
      <c r="B1090" s="74">
        <v>6054</v>
      </c>
      <c r="C1090" t="e">
        <f>VLOOKUP(B1090,'Waste Lookups'!$B$1:$C$292,2,FALSE)</f>
        <v>#N/A</v>
      </c>
      <c r="D1090" s="84">
        <v>81.927272727272722</v>
      </c>
      <c r="E1090" s="84">
        <v>917.89090909090908</v>
      </c>
      <c r="F1090" s="84">
        <v>0</v>
      </c>
      <c r="G1090" s="84">
        <v>0</v>
      </c>
      <c r="H1090" s="84">
        <v>346.38545454545454</v>
      </c>
      <c r="I1090" s="84"/>
      <c r="J1090" s="84">
        <v>81.185800878429859</v>
      </c>
      <c r="K1090" s="84">
        <v>909.58365990826746</v>
      </c>
      <c r="L1090" s="84">
        <v>0</v>
      </c>
      <c r="M1090" s="84">
        <v>0</v>
      </c>
      <c r="N1090" s="84">
        <v>343.25053921330289</v>
      </c>
    </row>
    <row r="1091" spans="1:14" x14ac:dyDescent="0.25">
      <c r="A1091" s="74" t="s">
        <v>2910</v>
      </c>
      <c r="B1091" s="74">
        <v>6055</v>
      </c>
      <c r="C1091" t="e">
        <f>VLOOKUP(B1091,'Waste Lookups'!$B$1:$C$292,2,FALSE)</f>
        <v>#N/A</v>
      </c>
      <c r="D1091" s="84">
        <v>415.05818181818188</v>
      </c>
      <c r="E1091" s="84">
        <v>754.4727272727273</v>
      </c>
      <c r="F1091" s="84">
        <v>0</v>
      </c>
      <c r="G1091" s="84">
        <v>73.745454545454535</v>
      </c>
      <c r="H1091" s="84">
        <v>461.84727272727275</v>
      </c>
      <c r="I1091" s="84"/>
      <c r="J1091" s="84">
        <v>429.34107854615723</v>
      </c>
      <c r="K1091" s="84">
        <v>780.43548748264595</v>
      </c>
      <c r="L1091" s="84">
        <v>0</v>
      </c>
      <c r="M1091" s="84">
        <v>76.283167949431544</v>
      </c>
      <c r="N1091" s="84">
        <v>477.74026602176542</v>
      </c>
    </row>
    <row r="1092" spans="1:14" x14ac:dyDescent="0.25">
      <c r="A1092" s="74" t="s">
        <v>2912</v>
      </c>
      <c r="B1092" s="74">
        <v>6057</v>
      </c>
      <c r="C1092" t="e">
        <f>VLOOKUP(B1092,'Waste Lookups'!$B$1:$C$292,2,FALSE)</f>
        <v>#N/A</v>
      </c>
      <c r="D1092" s="84">
        <v>78.327272727272728</v>
      </c>
      <c r="E1092" s="84">
        <v>1288.8436363636365</v>
      </c>
      <c r="F1092" s="84">
        <v>0</v>
      </c>
      <c r="G1092" s="84">
        <v>0</v>
      </c>
      <c r="H1092" s="84">
        <v>581.05090909090904</v>
      </c>
      <c r="I1092" s="84"/>
      <c r="J1092" s="84">
        <v>131.1949033244301</v>
      </c>
      <c r="K1092" s="84">
        <v>2158.7591446185893</v>
      </c>
      <c r="L1092" s="84">
        <v>0</v>
      </c>
      <c r="M1092" s="84">
        <v>0</v>
      </c>
      <c r="N1092" s="84">
        <v>973.23595205698064</v>
      </c>
    </row>
    <row r="1093" spans="1:14" x14ac:dyDescent="0.25">
      <c r="A1093" s="74" t="s">
        <v>2914</v>
      </c>
      <c r="B1093" s="74">
        <v>6058</v>
      </c>
      <c r="C1093" t="e">
        <f>VLOOKUP(B1093,'Waste Lookups'!$B$1:$C$292,2,FALSE)</f>
        <v>#N/A</v>
      </c>
      <c r="D1093" s="84">
        <v>678.87272727272727</v>
      </c>
      <c r="E1093" s="84">
        <v>890.61818181818182</v>
      </c>
      <c r="F1093" s="84">
        <v>0</v>
      </c>
      <c r="G1093" s="84">
        <v>86.530909090909077</v>
      </c>
      <c r="H1093" s="84">
        <v>230.92363636363638</v>
      </c>
      <c r="I1093" s="84"/>
      <c r="J1093" s="84">
        <v>1008.3440226628893</v>
      </c>
      <c r="K1093" s="84">
        <v>1322.854025553564</v>
      </c>
      <c r="L1093" s="84">
        <v>0</v>
      </c>
      <c r="M1093" s="84">
        <v>128.52618974388619</v>
      </c>
      <c r="N1093" s="84">
        <v>342.99576203966006</v>
      </c>
    </row>
    <row r="1094" spans="1:14" x14ac:dyDescent="0.25">
      <c r="A1094" s="74" t="s">
        <v>2916</v>
      </c>
      <c r="B1094" s="74">
        <v>6060</v>
      </c>
      <c r="C1094" t="e">
        <f>VLOOKUP(B1094,'Waste Lookups'!$B$1:$C$292,2,FALSE)</f>
        <v>#N/A</v>
      </c>
      <c r="D1094" s="84">
        <v>513.05454545454552</v>
      </c>
      <c r="E1094" s="84">
        <v>1126.6036363636365</v>
      </c>
      <c r="F1094" s="84">
        <v>0</v>
      </c>
      <c r="G1094" s="84">
        <v>0</v>
      </c>
      <c r="H1094" s="84">
        <v>346.38545454545454</v>
      </c>
      <c r="I1094" s="84"/>
      <c r="J1094" s="84">
        <v>590.24776055456073</v>
      </c>
      <c r="K1094" s="84">
        <v>1296.1102855196809</v>
      </c>
      <c r="L1094" s="84">
        <v>0</v>
      </c>
      <c r="M1094" s="84">
        <v>0</v>
      </c>
      <c r="N1094" s="84">
        <v>398.50195392575824</v>
      </c>
    </row>
    <row r="1095" spans="1:14" x14ac:dyDescent="0.25">
      <c r="A1095" s="74" t="s">
        <v>2918</v>
      </c>
      <c r="B1095" s="74">
        <v>6062</v>
      </c>
      <c r="C1095" t="e">
        <f>VLOOKUP(B1095,'Waste Lookups'!$B$1:$C$292,2,FALSE)</f>
        <v>#N/A</v>
      </c>
      <c r="D1095" s="84">
        <v>371.41090909090906</v>
      </c>
      <c r="E1095" s="84">
        <v>0</v>
      </c>
      <c r="F1095" s="84">
        <v>0</v>
      </c>
      <c r="G1095" s="84">
        <v>0</v>
      </c>
      <c r="H1095" s="84">
        <v>0</v>
      </c>
      <c r="I1095" s="84"/>
      <c r="J1095" s="84">
        <v>1789.38</v>
      </c>
      <c r="K1095" s="84">
        <v>0</v>
      </c>
      <c r="L1095" s="84">
        <v>0</v>
      </c>
      <c r="M1095" s="84">
        <v>0</v>
      </c>
      <c r="N1095" s="84">
        <v>0</v>
      </c>
    </row>
    <row r="1096" spans="1:14" x14ac:dyDescent="0.25">
      <c r="A1096" s="74" t="s">
        <v>674</v>
      </c>
      <c r="B1096" s="74">
        <v>6063</v>
      </c>
      <c r="C1096" t="str">
        <f>VLOOKUP(B1096,'Waste Lookups'!$B$1:$C$292,2,FALSE)</f>
        <v>Swift House</v>
      </c>
      <c r="D1096" s="84">
        <v>0</v>
      </c>
      <c r="E1096" s="84">
        <v>3291.8836363636365</v>
      </c>
      <c r="F1096" s="84">
        <v>0</v>
      </c>
      <c r="G1096" s="84">
        <v>712.5272727272727</v>
      </c>
      <c r="H1096" s="84">
        <v>756.65454545454543</v>
      </c>
      <c r="I1096" s="84"/>
      <c r="J1096" s="84">
        <v>0</v>
      </c>
      <c r="K1096" s="84">
        <v>3691.8925044279626</v>
      </c>
      <c r="L1096" s="84">
        <v>0</v>
      </c>
      <c r="M1096" s="84">
        <v>799.10907795275773</v>
      </c>
      <c r="N1096" s="84">
        <v>848.5984176192801</v>
      </c>
    </row>
    <row r="1097" spans="1:14" x14ac:dyDescent="0.25">
      <c r="A1097" s="74" t="s">
        <v>2921</v>
      </c>
      <c r="B1097" s="74">
        <v>6065</v>
      </c>
      <c r="C1097" t="e">
        <f>VLOOKUP(B1097,'Waste Lookups'!$B$1:$C$292,2,FALSE)</f>
        <v>#N/A</v>
      </c>
      <c r="D1097" s="84">
        <v>1833.349090909091</v>
      </c>
      <c r="E1097" s="84">
        <v>811.63636363636374</v>
      </c>
      <c r="F1097" s="84">
        <v>0</v>
      </c>
      <c r="G1097" s="84">
        <v>218.35636363636362</v>
      </c>
      <c r="H1097" s="84">
        <v>486.0654545454546</v>
      </c>
      <c r="I1097" s="84"/>
      <c r="J1097" s="84">
        <v>1112.5143616075356</v>
      </c>
      <c r="K1097" s="84">
        <v>492.51782730621539</v>
      </c>
      <c r="L1097" s="84">
        <v>0</v>
      </c>
      <c r="M1097" s="84">
        <v>132.50318321722051</v>
      </c>
      <c r="N1097" s="84">
        <v>294.95462786902868</v>
      </c>
    </row>
    <row r="1098" spans="1:14" x14ac:dyDescent="0.25">
      <c r="A1098" s="74" t="s">
        <v>2923</v>
      </c>
      <c r="B1098" s="74">
        <v>6067</v>
      </c>
      <c r="C1098" t="e">
        <f>VLOOKUP(B1098,'Waste Lookups'!$B$1:$C$292,2,FALSE)</f>
        <v>#N/A</v>
      </c>
      <c r="D1098" s="84">
        <v>3638.2909090909088</v>
      </c>
      <c r="E1098" s="84">
        <v>1224</v>
      </c>
      <c r="F1098" s="84">
        <v>0</v>
      </c>
      <c r="G1098" s="84">
        <v>122.90181818181819</v>
      </c>
      <c r="H1098" s="84">
        <v>474.54545454545456</v>
      </c>
      <c r="I1098" s="84"/>
      <c r="J1098" s="84">
        <v>5484.8999316650534</v>
      </c>
      <c r="K1098" s="84">
        <v>1845.2393401481788</v>
      </c>
      <c r="L1098" s="84">
        <v>0</v>
      </c>
      <c r="M1098" s="84">
        <v>185.2804492523118</v>
      </c>
      <c r="N1098" s="84">
        <v>715.40027893445438</v>
      </c>
    </row>
    <row r="1099" spans="1:14" x14ac:dyDescent="0.25">
      <c r="A1099" s="74" t="s">
        <v>2925</v>
      </c>
      <c r="B1099" s="74">
        <v>6085</v>
      </c>
      <c r="C1099" t="e">
        <f>VLOOKUP(B1099,'Waste Lookups'!$B$1:$C$292,2,FALSE)</f>
        <v>#N/A</v>
      </c>
      <c r="D1099" s="84">
        <v>0</v>
      </c>
      <c r="E1099" s="84">
        <v>1482.610909090909</v>
      </c>
      <c r="F1099" s="84">
        <v>0</v>
      </c>
      <c r="G1099" s="84">
        <v>214.03636363636363</v>
      </c>
      <c r="H1099" s="84">
        <v>2467.2545454545457</v>
      </c>
      <c r="I1099" s="84"/>
      <c r="J1099" s="84">
        <v>0</v>
      </c>
      <c r="K1099" s="84">
        <v>1509.1405075309606</v>
      </c>
      <c r="L1099" s="84">
        <v>0</v>
      </c>
      <c r="M1099" s="84">
        <v>217.8662955112905</v>
      </c>
      <c r="N1099" s="84">
        <v>2511.4031969577486</v>
      </c>
    </row>
    <row r="1100" spans="1:14" x14ac:dyDescent="0.25">
      <c r="A1100" s="74" t="s">
        <v>2927</v>
      </c>
      <c r="B1100" s="74">
        <v>6086</v>
      </c>
      <c r="C1100" t="e">
        <f>VLOOKUP(B1100,'Waste Lookups'!$B$1:$C$292,2,FALSE)</f>
        <v>#N/A</v>
      </c>
      <c r="D1100" s="84">
        <v>6.1309090909090909</v>
      </c>
      <c r="E1100" s="84">
        <v>108.72</v>
      </c>
      <c r="F1100" s="84">
        <v>0</v>
      </c>
      <c r="G1100" s="84">
        <v>0</v>
      </c>
      <c r="H1100" s="84">
        <v>0</v>
      </c>
      <c r="I1100" s="84"/>
      <c r="J1100" s="84">
        <v>0.73452887537993927</v>
      </c>
      <c r="K1100" s="84">
        <v>13.025471124620061</v>
      </c>
      <c r="L1100" s="84">
        <v>0</v>
      </c>
      <c r="M1100" s="84">
        <v>0</v>
      </c>
      <c r="N1100" s="84">
        <v>0</v>
      </c>
    </row>
    <row r="1101" spans="1:14" x14ac:dyDescent="0.25">
      <c r="A1101" s="74" t="s">
        <v>2929</v>
      </c>
      <c r="B1101" s="74">
        <v>6087</v>
      </c>
      <c r="C1101" t="e">
        <f>VLOOKUP(B1101,'Waste Lookups'!$B$1:$C$292,2,FALSE)</f>
        <v>#N/A</v>
      </c>
      <c r="D1101" s="84">
        <v>0</v>
      </c>
      <c r="E1101" s="84">
        <v>0</v>
      </c>
      <c r="F1101" s="84">
        <v>0</v>
      </c>
      <c r="G1101" s="84">
        <v>0</v>
      </c>
      <c r="H1101" s="84">
        <v>224.9672727272727</v>
      </c>
      <c r="I1101" s="84"/>
      <c r="J1101" s="84">
        <v>0</v>
      </c>
      <c r="K1101" s="84">
        <v>0</v>
      </c>
      <c r="L1101" s="84">
        <v>0</v>
      </c>
      <c r="M1101" s="84">
        <v>0</v>
      </c>
      <c r="N1101" s="84">
        <v>1310.99</v>
      </c>
    </row>
    <row r="1102" spans="1:14" x14ac:dyDescent="0.25">
      <c r="A1102" s="74" t="s">
        <v>2931</v>
      </c>
      <c r="B1102" s="74">
        <v>6088</v>
      </c>
      <c r="C1102" t="e">
        <f>VLOOKUP(B1102,'Waste Lookups'!$B$1:$C$292,2,FALSE)</f>
        <v>#N/A</v>
      </c>
      <c r="D1102" s="84">
        <v>134.78181818181818</v>
      </c>
      <c r="E1102" s="84">
        <v>2432.7381818181821</v>
      </c>
      <c r="F1102" s="84">
        <v>0</v>
      </c>
      <c r="G1102" s="84">
        <v>0</v>
      </c>
      <c r="H1102" s="84">
        <v>1535.9563636363637</v>
      </c>
      <c r="I1102" s="84"/>
      <c r="J1102" s="84">
        <v>113.71597811522999</v>
      </c>
      <c r="K1102" s="84">
        <v>2052.511277674982</v>
      </c>
      <c r="L1102" s="84">
        <v>0</v>
      </c>
      <c r="M1102" s="84">
        <v>0</v>
      </c>
      <c r="N1102" s="84">
        <v>1295.8927442097875</v>
      </c>
    </row>
    <row r="1103" spans="1:14" x14ac:dyDescent="0.25">
      <c r="A1103" s="74" t="s">
        <v>2933</v>
      </c>
      <c r="B1103" s="74">
        <v>6090</v>
      </c>
      <c r="C1103" t="e">
        <f>VLOOKUP(B1103,'Waste Lookups'!$B$1:$C$292,2,FALSE)</f>
        <v>#N/A</v>
      </c>
      <c r="D1103" s="84">
        <v>14405.476363636364</v>
      </c>
      <c r="E1103" s="84">
        <v>12369.632727272727</v>
      </c>
      <c r="F1103" s="84">
        <v>0</v>
      </c>
      <c r="G1103" s="84">
        <v>0</v>
      </c>
      <c r="H1103" s="84">
        <v>7308.6654545454539</v>
      </c>
      <c r="I1103" s="84"/>
      <c r="J1103" s="84">
        <v>15046.396431579602</v>
      </c>
      <c r="K1103" s="84">
        <v>12919.97522535276</v>
      </c>
      <c r="L1103" s="84">
        <v>0</v>
      </c>
      <c r="M1103" s="84">
        <v>0</v>
      </c>
      <c r="N1103" s="84">
        <v>7633.8383430676367</v>
      </c>
    </row>
    <row r="1104" spans="1:14" x14ac:dyDescent="0.25">
      <c r="A1104" s="74" t="s">
        <v>2935</v>
      </c>
      <c r="B1104" s="74">
        <v>6091</v>
      </c>
      <c r="C1104" t="e">
        <f>VLOOKUP(B1104,'Waste Lookups'!$B$1:$C$292,2,FALSE)</f>
        <v>#N/A</v>
      </c>
      <c r="D1104" s="84">
        <v>5306.4</v>
      </c>
      <c r="E1104" s="84">
        <v>349.09090909090907</v>
      </c>
      <c r="F1104" s="84">
        <v>0</v>
      </c>
      <c r="G1104" s="84">
        <v>0</v>
      </c>
      <c r="H1104" s="84">
        <v>2217.4690909090909</v>
      </c>
      <c r="I1104" s="84"/>
      <c r="J1104" s="84">
        <v>7118.4170832825275</v>
      </c>
      <c r="K1104" s="84">
        <v>468.29765771358262</v>
      </c>
      <c r="L1104" s="84">
        <v>0</v>
      </c>
      <c r="M1104" s="84">
        <v>0</v>
      </c>
      <c r="N1104" s="84">
        <v>2974.6852590038916</v>
      </c>
    </row>
    <row r="1105" spans="1:14" x14ac:dyDescent="0.25">
      <c r="A1105" s="74" t="s">
        <v>2937</v>
      </c>
      <c r="B1105" s="74">
        <v>6092</v>
      </c>
      <c r="C1105" t="e">
        <f>VLOOKUP(B1105,'Waste Lookups'!$B$1:$C$292,2,FALSE)</f>
        <v>#N/A</v>
      </c>
      <c r="D1105" s="84">
        <v>874.40727272727258</v>
      </c>
      <c r="E1105" s="84">
        <v>524.70545454545459</v>
      </c>
      <c r="F1105" s="84">
        <v>0</v>
      </c>
      <c r="G1105" s="84">
        <v>0</v>
      </c>
      <c r="H1105" s="84">
        <v>205.2</v>
      </c>
      <c r="I1105" s="84"/>
      <c r="J1105" s="84">
        <v>1241.0511181678473</v>
      </c>
      <c r="K1105" s="84">
        <v>744.71737756864468</v>
      </c>
      <c r="L1105" s="84">
        <v>0</v>
      </c>
      <c r="M1105" s="84">
        <v>0</v>
      </c>
      <c r="N1105" s="84">
        <v>291.24150426350792</v>
      </c>
    </row>
    <row r="1106" spans="1:14" x14ac:dyDescent="0.25">
      <c r="A1106" s="74" t="s">
        <v>2939</v>
      </c>
      <c r="B1106" s="74">
        <v>6094</v>
      </c>
      <c r="C1106" t="e">
        <f>VLOOKUP(B1106,'Waste Lookups'!$B$1:$C$292,2,FALSE)</f>
        <v>#N/A</v>
      </c>
      <c r="D1106" s="84">
        <v>667.21090909090913</v>
      </c>
      <c r="E1106" s="84">
        <v>0</v>
      </c>
      <c r="F1106" s="84">
        <v>0</v>
      </c>
      <c r="G1106" s="84">
        <v>0</v>
      </c>
      <c r="H1106" s="84">
        <v>224.9672727272727</v>
      </c>
      <c r="I1106" s="84"/>
      <c r="J1106" s="84">
        <v>661.15472506511139</v>
      </c>
      <c r="K1106" s="84">
        <v>0</v>
      </c>
      <c r="L1106" s="84">
        <v>0</v>
      </c>
      <c r="M1106" s="84">
        <v>0</v>
      </c>
      <c r="N1106" s="84">
        <v>222.92527493488862</v>
      </c>
    </row>
    <row r="1107" spans="1:14" x14ac:dyDescent="0.25">
      <c r="A1107" s="74" t="s">
        <v>2941</v>
      </c>
      <c r="B1107" s="74">
        <v>6096</v>
      </c>
      <c r="C1107" t="e">
        <f>VLOOKUP(B1107,'Waste Lookups'!$B$1:$C$292,2,FALSE)</f>
        <v>#N/A</v>
      </c>
      <c r="D1107" s="84">
        <v>684.4254545454545</v>
      </c>
      <c r="E1107" s="84">
        <v>0</v>
      </c>
      <c r="F1107" s="84">
        <v>0</v>
      </c>
      <c r="G1107" s="84">
        <v>0</v>
      </c>
      <c r="H1107" s="84">
        <v>189.25090909090909</v>
      </c>
      <c r="I1107" s="84"/>
      <c r="J1107" s="84">
        <v>705.30552861263379</v>
      </c>
      <c r="K1107" s="84">
        <v>0</v>
      </c>
      <c r="L1107" s="84">
        <v>0</v>
      </c>
      <c r="M1107" s="84">
        <v>0</v>
      </c>
      <c r="N1107" s="84">
        <v>195.02447138736625</v>
      </c>
    </row>
    <row r="1108" spans="1:14" x14ac:dyDescent="0.25">
      <c r="A1108" s="74" t="s">
        <v>2943</v>
      </c>
      <c r="B1108" s="74">
        <v>6097</v>
      </c>
      <c r="C1108" t="e">
        <f>VLOOKUP(B1108,'Waste Lookups'!$B$1:$C$292,2,FALSE)</f>
        <v>#N/A</v>
      </c>
      <c r="D1108" s="84">
        <v>1617.7636363636364</v>
      </c>
      <c r="E1108" s="84">
        <v>583.13454545454545</v>
      </c>
      <c r="F1108" s="84">
        <v>0</v>
      </c>
      <c r="G1108" s="84">
        <v>0</v>
      </c>
      <c r="H1108" s="84">
        <v>433.15636363636361</v>
      </c>
      <c r="I1108" s="84"/>
      <c r="J1108" s="84">
        <v>1414.5803269760413</v>
      </c>
      <c r="K1108" s="84">
        <v>509.89565931540034</v>
      </c>
      <c r="L1108" s="84">
        <v>0</v>
      </c>
      <c r="M1108" s="84">
        <v>0</v>
      </c>
      <c r="N1108" s="84">
        <v>378.75401370855849</v>
      </c>
    </row>
    <row r="1109" spans="1:14" x14ac:dyDescent="0.25">
      <c r="A1109" s="74" t="s">
        <v>2945</v>
      </c>
      <c r="B1109" s="74">
        <v>6098</v>
      </c>
      <c r="C1109" t="e">
        <f>VLOOKUP(B1109,'Waste Lookups'!$B$1:$C$292,2,FALSE)</f>
        <v>#N/A</v>
      </c>
      <c r="D1109" s="84">
        <v>8319.01090909091</v>
      </c>
      <c r="E1109" s="84">
        <v>120</v>
      </c>
      <c r="F1109" s="84">
        <v>0</v>
      </c>
      <c r="G1109" s="84">
        <v>0</v>
      </c>
      <c r="H1109" s="84">
        <v>656.93454545454551</v>
      </c>
      <c r="I1109" s="84"/>
      <c r="J1109" s="84">
        <v>8054.0782224887416</v>
      </c>
      <c r="K1109" s="84">
        <v>116.17840116575417</v>
      </c>
      <c r="L1109" s="84">
        <v>0</v>
      </c>
      <c r="M1109" s="84">
        <v>0</v>
      </c>
      <c r="N1109" s="84">
        <v>636.01337634550453</v>
      </c>
    </row>
    <row r="1110" spans="1:14" x14ac:dyDescent="0.25">
      <c r="A1110" s="74" t="s">
        <v>2947</v>
      </c>
      <c r="B1110" s="74">
        <v>6099</v>
      </c>
      <c r="C1110" t="e">
        <f>VLOOKUP(B1110,'Waste Lookups'!$B$1:$C$292,2,FALSE)</f>
        <v>#N/A</v>
      </c>
      <c r="D1110" s="84">
        <v>623.44363636363641</v>
      </c>
      <c r="E1110" s="84">
        <v>324.67636363636365</v>
      </c>
      <c r="F1110" s="84">
        <v>0</v>
      </c>
      <c r="G1110" s="84">
        <v>0</v>
      </c>
      <c r="H1110" s="84">
        <v>207.38181818181818</v>
      </c>
      <c r="I1110" s="84"/>
      <c r="J1110" s="84">
        <v>550.67980249431184</v>
      </c>
      <c r="K1110" s="84">
        <v>286.78248581489981</v>
      </c>
      <c r="L1110" s="84">
        <v>0</v>
      </c>
      <c r="M1110" s="84">
        <v>0</v>
      </c>
      <c r="N1110" s="84">
        <v>183.17771169078841</v>
      </c>
    </row>
    <row r="1111" spans="1:14" x14ac:dyDescent="0.25">
      <c r="A1111" s="74" t="s">
        <v>2949</v>
      </c>
      <c r="B1111" s="74">
        <v>6100</v>
      </c>
      <c r="C1111" t="e">
        <f>VLOOKUP(B1111,'Waste Lookups'!$B$1:$C$292,2,FALSE)</f>
        <v>#N/A</v>
      </c>
      <c r="D1111" s="84">
        <v>2670.6436363636367</v>
      </c>
      <c r="E1111" s="84">
        <v>1797.2400000000002</v>
      </c>
      <c r="F1111" s="84">
        <v>0</v>
      </c>
      <c r="G1111" s="84">
        <v>0</v>
      </c>
      <c r="H1111" s="84">
        <v>262.08</v>
      </c>
      <c r="I1111" s="84"/>
      <c r="J1111" s="84">
        <v>1989.5657580838604</v>
      </c>
      <c r="K1111" s="84">
        <v>1338.9008980349647</v>
      </c>
      <c r="L1111" s="84">
        <v>0</v>
      </c>
      <c r="M1111" s="84">
        <v>0</v>
      </c>
      <c r="N1111" s="84">
        <v>195.24334388117532</v>
      </c>
    </row>
    <row r="1112" spans="1:14" x14ac:dyDescent="0.25">
      <c r="A1112" s="74" t="s">
        <v>2951</v>
      </c>
      <c r="B1112" s="74">
        <v>6101</v>
      </c>
      <c r="C1112" t="e">
        <f>VLOOKUP(B1112,'Waste Lookups'!$B$1:$C$292,2,FALSE)</f>
        <v>#N/A</v>
      </c>
      <c r="D1112" s="84">
        <v>2355.8509090909092</v>
      </c>
      <c r="E1112" s="84">
        <v>26.18181818181818</v>
      </c>
      <c r="F1112" s="84">
        <v>0</v>
      </c>
      <c r="G1112" s="84">
        <v>0</v>
      </c>
      <c r="H1112" s="84">
        <v>209.74909090909091</v>
      </c>
      <c r="I1112" s="84"/>
      <c r="J1112" s="84">
        <v>363.5423956141089</v>
      </c>
      <c r="K1112" s="84">
        <v>4.040239077363414</v>
      </c>
      <c r="L1112" s="84">
        <v>0</v>
      </c>
      <c r="M1112" s="84">
        <v>0</v>
      </c>
      <c r="N1112" s="84">
        <v>32.367365308527653</v>
      </c>
    </row>
    <row r="1113" spans="1:14" x14ac:dyDescent="0.25">
      <c r="A1113" s="74" t="s">
        <v>2953</v>
      </c>
      <c r="B1113" s="74">
        <v>6102</v>
      </c>
      <c r="C1113" t="e">
        <f>VLOOKUP(B1113,'Waste Lookups'!$B$1:$C$292,2,FALSE)</f>
        <v>#N/A</v>
      </c>
      <c r="D1113" s="84">
        <v>1414.3963636363635</v>
      </c>
      <c r="E1113" s="84">
        <v>5573.9345454545446</v>
      </c>
      <c r="F1113" s="84">
        <v>0</v>
      </c>
      <c r="G1113" s="84">
        <v>0</v>
      </c>
      <c r="H1113" s="84">
        <v>878.16000000000008</v>
      </c>
      <c r="I1113" s="84"/>
      <c r="J1113" s="84">
        <v>1270.7232823137037</v>
      </c>
      <c r="K1113" s="84">
        <v>5007.7394025475151</v>
      </c>
      <c r="L1113" s="84">
        <v>0</v>
      </c>
      <c r="M1113" s="84">
        <v>0</v>
      </c>
      <c r="N1113" s="84">
        <v>788.95731513878229</v>
      </c>
    </row>
    <row r="1114" spans="1:14" x14ac:dyDescent="0.25">
      <c r="A1114" s="74" t="s">
        <v>2955</v>
      </c>
      <c r="B1114" s="74">
        <v>6103</v>
      </c>
      <c r="C1114" t="e">
        <f>VLOOKUP(B1114,'Waste Lookups'!$B$1:$C$292,2,FALSE)</f>
        <v>#N/A</v>
      </c>
      <c r="D1114" s="84">
        <v>282.32727272727271</v>
      </c>
      <c r="E1114" s="84">
        <v>265.88727272727272</v>
      </c>
      <c r="F1114" s="84">
        <v>0</v>
      </c>
      <c r="G1114" s="84">
        <v>0</v>
      </c>
      <c r="H1114" s="84">
        <v>265.85454545454542</v>
      </c>
      <c r="I1114" s="84"/>
      <c r="J1114" s="84">
        <v>176.25229218873537</v>
      </c>
      <c r="K1114" s="84">
        <v>165.98906945579779</v>
      </c>
      <c r="L1114" s="84">
        <v>0</v>
      </c>
      <c r="M1114" s="84">
        <v>0</v>
      </c>
      <c r="N1114" s="84">
        <v>165.96863835546679</v>
      </c>
    </row>
    <row r="1115" spans="1:14" x14ac:dyDescent="0.25">
      <c r="A1115" s="74" t="s">
        <v>2957</v>
      </c>
      <c r="B1115" s="74">
        <v>6104</v>
      </c>
      <c r="C1115" t="e">
        <f>VLOOKUP(B1115,'Waste Lookups'!$B$1:$C$292,2,FALSE)</f>
        <v>#N/A</v>
      </c>
      <c r="D1115" s="84">
        <v>2090.2799999999997</v>
      </c>
      <c r="E1115" s="84">
        <v>593.98909090909092</v>
      </c>
      <c r="F1115" s="84">
        <v>0</v>
      </c>
      <c r="G1115" s="84">
        <v>0</v>
      </c>
      <c r="H1115" s="84">
        <v>282.18545454545455</v>
      </c>
      <c r="I1115" s="84"/>
      <c r="J1115" s="84">
        <v>1212.5641830284085</v>
      </c>
      <c r="K1115" s="84">
        <v>344.57101285280868</v>
      </c>
      <c r="L1115" s="84">
        <v>0</v>
      </c>
      <c r="M1115" s="84">
        <v>0</v>
      </c>
      <c r="N1115" s="84">
        <v>163.69480411878277</v>
      </c>
    </row>
    <row r="1116" spans="1:14" x14ac:dyDescent="0.25">
      <c r="A1116" s="74" t="s">
        <v>2959</v>
      </c>
      <c r="B1116" s="74">
        <v>6105</v>
      </c>
      <c r="C1116" t="e">
        <f>VLOOKUP(B1116,'Waste Lookups'!$B$1:$C$292,2,FALSE)</f>
        <v>#N/A</v>
      </c>
      <c r="D1116" s="84">
        <v>369.38181818181823</v>
      </c>
      <c r="E1116" s="84">
        <v>479.01818181818186</v>
      </c>
      <c r="F1116" s="84">
        <v>0</v>
      </c>
      <c r="G1116" s="84">
        <v>0</v>
      </c>
      <c r="H1116" s="84">
        <v>224.9672727272727</v>
      </c>
      <c r="I1116" s="84"/>
      <c r="J1116" s="84">
        <v>268.46211683876737</v>
      </c>
      <c r="K1116" s="84">
        <v>348.14446398081145</v>
      </c>
      <c r="L1116" s="84">
        <v>0</v>
      </c>
      <c r="M1116" s="84">
        <v>0</v>
      </c>
      <c r="N1116" s="84">
        <v>163.50341918042113</v>
      </c>
    </row>
    <row r="1117" spans="1:14" x14ac:dyDescent="0.25">
      <c r="A1117" s="74" t="s">
        <v>2961</v>
      </c>
      <c r="B1117" s="74">
        <v>6106</v>
      </c>
      <c r="C1117" t="e">
        <f>VLOOKUP(B1117,'Waste Lookups'!$B$1:$C$292,2,FALSE)</f>
        <v>#N/A</v>
      </c>
      <c r="D1117" s="84">
        <v>1513.4509090909089</v>
      </c>
      <c r="E1117" s="84">
        <v>818.66181818181826</v>
      </c>
      <c r="F1117" s="84">
        <v>0</v>
      </c>
      <c r="G1117" s="84">
        <v>0</v>
      </c>
      <c r="H1117" s="84">
        <v>438.72</v>
      </c>
      <c r="I1117" s="84"/>
      <c r="J1117" s="84">
        <v>1175.008039316044</v>
      </c>
      <c r="K1117" s="84">
        <v>635.58996995980215</v>
      </c>
      <c r="L1117" s="84">
        <v>0</v>
      </c>
      <c r="M1117" s="84">
        <v>0</v>
      </c>
      <c r="N1117" s="84">
        <v>340.61199072415383</v>
      </c>
    </row>
    <row r="1118" spans="1:14" x14ac:dyDescent="0.25">
      <c r="A1118" s="74" t="s">
        <v>2963</v>
      </c>
      <c r="B1118" s="74">
        <v>6108</v>
      </c>
      <c r="C1118" t="e">
        <f>VLOOKUP(B1118,'Waste Lookups'!$B$1:$C$292,2,FALSE)</f>
        <v>#N/A</v>
      </c>
      <c r="D1118" s="84">
        <v>12.250909090909092</v>
      </c>
      <c r="E1118" s="84">
        <v>472.4727272727273</v>
      </c>
      <c r="F1118" s="84">
        <v>0</v>
      </c>
      <c r="G1118" s="84">
        <v>0</v>
      </c>
      <c r="H1118" s="84">
        <v>225.51272727272726</v>
      </c>
      <c r="I1118" s="84"/>
      <c r="J1118" s="84">
        <v>14.783823669457032</v>
      </c>
      <c r="K1118" s="84">
        <v>570.15797250595199</v>
      </c>
      <c r="L1118" s="84">
        <v>0</v>
      </c>
      <c r="M1118" s="84">
        <v>0</v>
      </c>
      <c r="N1118" s="84">
        <v>272.13820382459102</v>
      </c>
    </row>
    <row r="1119" spans="1:14" x14ac:dyDescent="0.25">
      <c r="A1119" s="74" t="s">
        <v>2965</v>
      </c>
      <c r="B1119" s="74">
        <v>6109</v>
      </c>
      <c r="C1119" t="e">
        <f>VLOOKUP(B1119,'Waste Lookups'!$B$1:$C$292,2,FALSE)</f>
        <v>#N/A</v>
      </c>
      <c r="D1119" s="84">
        <v>664.4072727272727</v>
      </c>
      <c r="E1119" s="84">
        <v>530.64</v>
      </c>
      <c r="F1119" s="84">
        <v>0</v>
      </c>
      <c r="G1119" s="84">
        <v>0</v>
      </c>
      <c r="H1119" s="84">
        <v>224.9672727272727</v>
      </c>
      <c r="I1119" s="84"/>
      <c r="J1119" s="84">
        <v>393.09113269006207</v>
      </c>
      <c r="K1119" s="84">
        <v>313.94881906459347</v>
      </c>
      <c r="L1119" s="84">
        <v>0</v>
      </c>
      <c r="M1119" s="84">
        <v>0</v>
      </c>
      <c r="N1119" s="84">
        <v>133.10004824534448</v>
      </c>
    </row>
    <row r="1120" spans="1:14" x14ac:dyDescent="0.25">
      <c r="A1120" s="74" t="s">
        <v>2967</v>
      </c>
      <c r="B1120" s="74">
        <v>6110</v>
      </c>
      <c r="C1120" t="e">
        <f>VLOOKUP(B1120,'Waste Lookups'!$B$1:$C$292,2,FALSE)</f>
        <v>#N/A</v>
      </c>
      <c r="D1120" s="84">
        <v>63.469090909090909</v>
      </c>
      <c r="E1120" s="84">
        <v>594.32727272727266</v>
      </c>
      <c r="F1120" s="84">
        <v>0</v>
      </c>
      <c r="G1120" s="84">
        <v>0</v>
      </c>
      <c r="H1120" s="84">
        <v>293.45454545454544</v>
      </c>
      <c r="I1120" s="84"/>
      <c r="J1120" s="84">
        <v>40.039033234707226</v>
      </c>
      <c r="K1120" s="84">
        <v>374.92721392692488</v>
      </c>
      <c r="L1120" s="84">
        <v>0</v>
      </c>
      <c r="M1120" s="84">
        <v>0</v>
      </c>
      <c r="N1120" s="84">
        <v>185.12375283836786</v>
      </c>
    </row>
    <row r="1121" spans="1:14" x14ac:dyDescent="0.25">
      <c r="A1121" s="74" t="s">
        <v>2969</v>
      </c>
      <c r="B1121" s="74">
        <v>6111</v>
      </c>
      <c r="C1121" t="e">
        <f>VLOOKUP(B1121,'Waste Lookups'!$B$1:$C$292,2,FALSE)</f>
        <v>#N/A</v>
      </c>
      <c r="D1121" s="84">
        <v>0</v>
      </c>
      <c r="E1121" s="84">
        <v>0</v>
      </c>
      <c r="F1121" s="84">
        <v>0</v>
      </c>
      <c r="G1121" s="84">
        <v>0</v>
      </c>
      <c r="H1121" s="84">
        <v>566.54181818181826</v>
      </c>
      <c r="I1121" s="84"/>
      <c r="J1121" s="84">
        <v>0</v>
      </c>
      <c r="K1121" s="84">
        <v>0</v>
      </c>
      <c r="L1121" s="84">
        <v>0</v>
      </c>
      <c r="M1121" s="84">
        <v>0</v>
      </c>
      <c r="N1121" s="84">
        <v>152.34</v>
      </c>
    </row>
    <row r="1122" spans="1:14" x14ac:dyDescent="0.25">
      <c r="A1122" s="74" t="s">
        <v>2971</v>
      </c>
      <c r="B1122" s="74">
        <v>6130</v>
      </c>
      <c r="C1122" t="e">
        <f>VLOOKUP(B1122,'Waste Lookups'!$B$1:$C$292,2,FALSE)</f>
        <v>#N/A</v>
      </c>
      <c r="D1122" s="84">
        <v>2448.5236363636363</v>
      </c>
      <c r="E1122" s="84">
        <v>0</v>
      </c>
      <c r="F1122" s="84">
        <v>0</v>
      </c>
      <c r="G1122" s="84">
        <v>0</v>
      </c>
      <c r="H1122" s="84">
        <v>0</v>
      </c>
      <c r="I1122" s="84"/>
      <c r="J1122" s="84">
        <v>0</v>
      </c>
      <c r="K1122" s="84">
        <v>0</v>
      </c>
      <c r="L1122" s="84">
        <v>0</v>
      </c>
      <c r="M1122" s="84">
        <v>0</v>
      </c>
      <c r="N1122" s="84">
        <v>0</v>
      </c>
    </row>
    <row r="1123" spans="1:14" x14ac:dyDescent="0.25">
      <c r="A1123" s="74" t="s">
        <v>2973</v>
      </c>
      <c r="B1123" s="74">
        <v>6135</v>
      </c>
      <c r="C1123" t="e">
        <f>VLOOKUP(B1123,'Waste Lookups'!$B$1:$C$292,2,FALSE)</f>
        <v>#N/A</v>
      </c>
      <c r="D1123" s="84">
        <v>125.14909090909092</v>
      </c>
      <c r="E1123" s="84">
        <v>0</v>
      </c>
      <c r="F1123" s="84">
        <v>0</v>
      </c>
      <c r="G1123" s="84">
        <v>0</v>
      </c>
      <c r="H1123" s="84">
        <v>0</v>
      </c>
      <c r="I1123" s="84"/>
      <c r="J1123" s="84">
        <v>0</v>
      </c>
      <c r="K1123" s="84">
        <v>0</v>
      </c>
      <c r="L1123" s="84">
        <v>0</v>
      </c>
      <c r="M1123" s="84">
        <v>0</v>
      </c>
      <c r="N1123" s="84">
        <v>0</v>
      </c>
    </row>
    <row r="1124" spans="1:14" x14ac:dyDescent="0.25">
      <c r="A1124" s="74" t="s">
        <v>2975</v>
      </c>
      <c r="B1124" s="74">
        <v>6136</v>
      </c>
      <c r="C1124" t="e">
        <f>VLOOKUP(B1124,'Waste Lookups'!$B$1:$C$292,2,FALSE)</f>
        <v>#N/A</v>
      </c>
      <c r="D1124" s="84">
        <v>1494.6763636363635</v>
      </c>
      <c r="E1124" s="84">
        <v>0</v>
      </c>
      <c r="F1124" s="84">
        <v>0</v>
      </c>
      <c r="G1124" s="84">
        <v>0</v>
      </c>
      <c r="H1124" s="84">
        <v>0</v>
      </c>
      <c r="I1124" s="84"/>
      <c r="J1124" s="84">
        <v>1327.22</v>
      </c>
      <c r="K1124" s="84">
        <v>0</v>
      </c>
      <c r="L1124" s="84">
        <v>0</v>
      </c>
      <c r="M1124" s="84">
        <v>0</v>
      </c>
      <c r="N1124" s="84">
        <v>0</v>
      </c>
    </row>
    <row r="1125" spans="1:14" x14ac:dyDescent="0.25">
      <c r="A1125" s="74" t="s">
        <v>2977</v>
      </c>
      <c r="B1125" s="74">
        <v>6140</v>
      </c>
      <c r="C1125" t="e">
        <f>VLOOKUP(B1125,'Waste Lookups'!$B$1:$C$292,2,FALSE)</f>
        <v>#N/A</v>
      </c>
      <c r="D1125" s="84">
        <v>265.48363636363638</v>
      </c>
      <c r="E1125" s="84">
        <v>0</v>
      </c>
      <c r="F1125" s="84">
        <v>0</v>
      </c>
      <c r="G1125" s="84">
        <v>0</v>
      </c>
      <c r="H1125" s="84">
        <v>75.316363636363647</v>
      </c>
      <c r="I1125" s="84"/>
      <c r="J1125" s="84">
        <v>339.5744481434059</v>
      </c>
      <c r="K1125" s="84">
        <v>0</v>
      </c>
      <c r="L1125" s="84">
        <v>0</v>
      </c>
      <c r="M1125" s="84">
        <v>0</v>
      </c>
      <c r="N1125" s="84">
        <v>96.335551856594122</v>
      </c>
    </row>
    <row r="1126" spans="1:14" x14ac:dyDescent="0.25">
      <c r="A1126" s="74" t="s">
        <v>2979</v>
      </c>
      <c r="B1126" s="74">
        <v>6145</v>
      </c>
      <c r="C1126" t="e">
        <f>VLOOKUP(B1126,'Waste Lookups'!$B$1:$C$292,2,FALSE)</f>
        <v>#N/A</v>
      </c>
      <c r="D1126" s="84">
        <v>461.26909090909089</v>
      </c>
      <c r="E1126" s="84">
        <v>0</v>
      </c>
      <c r="F1126" s="84">
        <v>0</v>
      </c>
      <c r="G1126" s="84">
        <v>0</v>
      </c>
      <c r="H1126" s="84">
        <v>0</v>
      </c>
      <c r="I1126" s="84"/>
      <c r="J1126" s="84">
        <v>0</v>
      </c>
      <c r="K1126" s="84">
        <v>0</v>
      </c>
      <c r="L1126" s="84">
        <v>0</v>
      </c>
      <c r="M1126" s="84">
        <v>0</v>
      </c>
      <c r="N1126" s="84">
        <v>0</v>
      </c>
    </row>
    <row r="1127" spans="1:14" x14ac:dyDescent="0.25">
      <c r="A1127" s="74" t="s">
        <v>2981</v>
      </c>
      <c r="B1127" s="74">
        <v>6146</v>
      </c>
      <c r="C1127" t="e">
        <f>VLOOKUP(B1127,'Waste Lookups'!$B$1:$C$292,2,FALSE)</f>
        <v>#N/A</v>
      </c>
      <c r="D1127" s="84">
        <v>598.61454545454546</v>
      </c>
      <c r="E1127" s="84">
        <v>0</v>
      </c>
      <c r="F1127" s="84">
        <v>0</v>
      </c>
      <c r="G1127" s="84">
        <v>0</v>
      </c>
      <c r="H1127" s="84">
        <v>0</v>
      </c>
      <c r="I1127" s="84"/>
      <c r="J1127" s="84">
        <v>0</v>
      </c>
      <c r="K1127" s="84">
        <v>0</v>
      </c>
      <c r="L1127" s="84">
        <v>0</v>
      </c>
      <c r="M1127" s="84">
        <v>0</v>
      </c>
      <c r="N1127" s="84">
        <v>0</v>
      </c>
    </row>
    <row r="1128" spans="1:14" x14ac:dyDescent="0.25">
      <c r="A1128" s="74" t="s">
        <v>2983</v>
      </c>
      <c r="B1128" s="74">
        <v>6147</v>
      </c>
      <c r="C1128" t="e">
        <f>VLOOKUP(B1128,'Waste Lookups'!$B$1:$C$292,2,FALSE)</f>
        <v>#N/A</v>
      </c>
      <c r="D1128" s="84">
        <v>4121.2363636363634</v>
      </c>
      <c r="E1128" s="84">
        <v>0</v>
      </c>
      <c r="F1128" s="84">
        <v>0</v>
      </c>
      <c r="G1128" s="84">
        <v>0</v>
      </c>
      <c r="H1128" s="84">
        <v>0</v>
      </c>
      <c r="I1128" s="84"/>
      <c r="J1128" s="84">
        <v>0</v>
      </c>
      <c r="K1128" s="84">
        <v>0</v>
      </c>
      <c r="L1128" s="84">
        <v>0</v>
      </c>
      <c r="M1128" s="84">
        <v>0</v>
      </c>
      <c r="N1128" s="84">
        <v>0</v>
      </c>
    </row>
    <row r="1129" spans="1:14" x14ac:dyDescent="0.25">
      <c r="A1129" s="74" t="s">
        <v>2985</v>
      </c>
      <c r="B1129" s="74">
        <v>6149</v>
      </c>
      <c r="C1129" t="e">
        <f>VLOOKUP(B1129,'Waste Lookups'!$B$1:$C$292,2,FALSE)</f>
        <v>#N/A</v>
      </c>
      <c r="D1129" s="84">
        <v>5172.3818181818187</v>
      </c>
      <c r="E1129" s="84">
        <v>1526.4218181818183</v>
      </c>
      <c r="F1129" s="84">
        <v>0</v>
      </c>
      <c r="G1129" s="84">
        <v>51.38181818181819</v>
      </c>
      <c r="H1129" s="84">
        <v>0</v>
      </c>
      <c r="I1129" s="84"/>
      <c r="J1129" s="84">
        <v>465.27935935497538</v>
      </c>
      <c r="K1129" s="84">
        <v>137.30861151289582</v>
      </c>
      <c r="L1129" s="84">
        <v>0</v>
      </c>
      <c r="M1129" s="84">
        <v>4.6220291321288958</v>
      </c>
      <c r="N1129" s="84">
        <v>0</v>
      </c>
    </row>
    <row r="1130" spans="1:14" x14ac:dyDescent="0.25">
      <c r="A1130" s="74" t="s">
        <v>2987</v>
      </c>
      <c r="B1130" s="74">
        <v>6158</v>
      </c>
      <c r="C1130" t="e">
        <f>VLOOKUP(B1130,'Waste Lookups'!$B$1:$C$292,2,FALSE)</f>
        <v>#N/A</v>
      </c>
      <c r="D1130" s="84">
        <v>4801.090909090909</v>
      </c>
      <c r="E1130" s="84">
        <v>0</v>
      </c>
      <c r="F1130" s="84">
        <v>0</v>
      </c>
      <c r="G1130" s="84">
        <v>0</v>
      </c>
      <c r="H1130" s="84">
        <v>0</v>
      </c>
      <c r="I1130" s="84"/>
      <c r="J1130" s="84">
        <v>0</v>
      </c>
      <c r="K1130" s="84">
        <v>0</v>
      </c>
      <c r="L1130" s="84">
        <v>0</v>
      </c>
      <c r="M1130" s="84">
        <v>0</v>
      </c>
      <c r="N1130" s="84">
        <v>0</v>
      </c>
    </row>
    <row r="1131" spans="1:14" x14ac:dyDescent="0.25">
      <c r="A1131" s="74" t="s">
        <v>2989</v>
      </c>
      <c r="B1131" s="74">
        <v>6163</v>
      </c>
      <c r="C1131" t="e">
        <f>VLOOKUP(B1131,'Waste Lookups'!$B$1:$C$292,2,FALSE)</f>
        <v>#N/A</v>
      </c>
      <c r="D1131" s="84">
        <v>7351.4618181818187</v>
      </c>
      <c r="E1131" s="84">
        <v>0</v>
      </c>
      <c r="F1131" s="84">
        <v>0</v>
      </c>
      <c r="G1131" s="84">
        <v>0</v>
      </c>
      <c r="H1131" s="84">
        <v>0</v>
      </c>
      <c r="I1131" s="84"/>
      <c r="J1131" s="84">
        <v>3214.47</v>
      </c>
      <c r="K1131" s="84">
        <v>0</v>
      </c>
      <c r="L1131" s="84">
        <v>0</v>
      </c>
      <c r="M1131" s="84">
        <v>0</v>
      </c>
      <c r="N1131" s="84">
        <v>0</v>
      </c>
    </row>
    <row r="1132" spans="1:14" x14ac:dyDescent="0.25">
      <c r="A1132" s="74" t="s">
        <v>780</v>
      </c>
      <c r="B1132" s="74">
        <v>6164</v>
      </c>
      <c r="C1132" t="str">
        <f>VLOOKUP(B1132,'Waste Lookups'!$B$1:$C$292,2,FALSE)</f>
        <v>St Margarets Community Hospital</v>
      </c>
      <c r="D1132" s="84">
        <v>256.56</v>
      </c>
      <c r="E1132" s="84">
        <v>0</v>
      </c>
      <c r="F1132" s="84">
        <v>0</v>
      </c>
      <c r="G1132" s="84">
        <v>0</v>
      </c>
      <c r="H1132" s="84">
        <v>0</v>
      </c>
      <c r="I1132" s="84"/>
      <c r="J1132" s="84">
        <v>0</v>
      </c>
      <c r="K1132" s="84">
        <v>0</v>
      </c>
      <c r="L1132" s="84">
        <v>0</v>
      </c>
      <c r="M1132" s="84">
        <v>0</v>
      </c>
      <c r="N1132" s="84">
        <v>0</v>
      </c>
    </row>
    <row r="1133" spans="1:14" x14ac:dyDescent="0.25">
      <c r="A1133" s="74" t="s">
        <v>2992</v>
      </c>
      <c r="B1133" s="74">
        <v>6178</v>
      </c>
      <c r="C1133" t="e">
        <f>VLOOKUP(B1133,'Waste Lookups'!$B$1:$C$292,2,FALSE)</f>
        <v>#N/A</v>
      </c>
      <c r="D1133" s="84">
        <v>0</v>
      </c>
      <c r="E1133" s="84">
        <v>1832.7272727272725</v>
      </c>
      <c r="F1133" s="84">
        <v>0</v>
      </c>
      <c r="G1133" s="84">
        <v>0</v>
      </c>
      <c r="H1133" s="84">
        <v>91.63636363636364</v>
      </c>
      <c r="I1133" s="84"/>
      <c r="J1133" s="84">
        <v>0</v>
      </c>
      <c r="K1133" s="84">
        <v>1689.2761904761903</v>
      </c>
      <c r="L1133" s="84">
        <v>0</v>
      </c>
      <c r="M1133" s="84">
        <v>0</v>
      </c>
      <c r="N1133" s="84">
        <v>84.46380952380953</v>
      </c>
    </row>
    <row r="1134" spans="1:14" x14ac:dyDescent="0.25">
      <c r="A1134" s="74" t="s">
        <v>2994</v>
      </c>
      <c r="B1134" s="74">
        <v>6181</v>
      </c>
      <c r="C1134" t="e">
        <f>VLOOKUP(B1134,'Waste Lookups'!$B$1:$C$292,2,FALSE)</f>
        <v>#N/A</v>
      </c>
      <c r="D1134" s="84">
        <v>0</v>
      </c>
      <c r="E1134" s="84">
        <v>4478.3454545454542</v>
      </c>
      <c r="F1134" s="84">
        <v>413.13818181818181</v>
      </c>
      <c r="G1134" s="84">
        <v>0</v>
      </c>
      <c r="H1134" s="84">
        <v>137.45454545454547</v>
      </c>
      <c r="I1134" s="84"/>
      <c r="J1134" s="84">
        <v>0</v>
      </c>
      <c r="K1134" s="84">
        <v>3474.7187307206732</v>
      </c>
      <c r="L1134" s="84">
        <v>320.55119313818642</v>
      </c>
      <c r="M1134" s="84">
        <v>0</v>
      </c>
      <c r="N1134" s="84">
        <v>106.65007614114099</v>
      </c>
    </row>
    <row r="1135" spans="1:14" x14ac:dyDescent="0.25">
      <c r="A1135" s="74" t="s">
        <v>700</v>
      </c>
      <c r="B1135" s="74">
        <v>6182</v>
      </c>
      <c r="C1135" t="str">
        <f>VLOOKUP(B1135,'Waste Lookups'!$B$1:$C$292,2,FALSE)</f>
        <v>Charter House</v>
      </c>
      <c r="D1135" s="84">
        <v>0</v>
      </c>
      <c r="E1135" s="84">
        <v>9800.5854545454549</v>
      </c>
      <c r="F1135" s="84">
        <v>0</v>
      </c>
      <c r="G1135" s="84">
        <v>0</v>
      </c>
      <c r="H1135" s="84">
        <v>763.51636363636362</v>
      </c>
      <c r="I1135" s="84"/>
      <c r="J1135" s="84">
        <v>0</v>
      </c>
      <c r="K1135" s="84">
        <v>10795.235264897106</v>
      </c>
      <c r="L1135" s="84">
        <v>0</v>
      </c>
      <c r="M1135" s="84">
        <v>0</v>
      </c>
      <c r="N1135" s="84">
        <v>841.00473510289396</v>
      </c>
    </row>
    <row r="1136" spans="1:14" x14ac:dyDescent="0.25">
      <c r="A1136" s="74" t="s">
        <v>2997</v>
      </c>
      <c r="B1136" s="74">
        <v>6183</v>
      </c>
      <c r="C1136" t="e">
        <f>VLOOKUP(B1136,'Waste Lookups'!$B$1:$C$292,2,FALSE)</f>
        <v>#N/A</v>
      </c>
      <c r="D1136" s="84">
        <v>0</v>
      </c>
      <c r="E1136" s="84">
        <v>2874.556363636364</v>
      </c>
      <c r="F1136" s="84">
        <v>847.57090909090925</v>
      </c>
      <c r="G1136" s="84">
        <v>0</v>
      </c>
      <c r="H1136" s="84">
        <v>0</v>
      </c>
      <c r="I1136" s="84"/>
      <c r="J1136" s="84">
        <v>0</v>
      </c>
      <c r="K1136" s="84">
        <v>2587.552867128768</v>
      </c>
      <c r="L1136" s="84">
        <v>762.94713287123204</v>
      </c>
      <c r="M1136" s="84">
        <v>0</v>
      </c>
      <c r="N1136" s="84">
        <v>0</v>
      </c>
    </row>
    <row r="1137" spans="1:14" x14ac:dyDescent="0.25">
      <c r="A1137" s="74" t="s">
        <v>2999</v>
      </c>
      <c r="B1137" s="74">
        <v>6184</v>
      </c>
      <c r="C1137" t="e">
        <f>VLOOKUP(B1137,'Waste Lookups'!$B$1:$C$292,2,FALSE)</f>
        <v>#N/A</v>
      </c>
      <c r="D1137" s="84">
        <v>0</v>
      </c>
      <c r="E1137" s="84">
        <v>1683.7418181818182</v>
      </c>
      <c r="F1137" s="84">
        <v>0</v>
      </c>
      <c r="G1137" s="84">
        <v>0</v>
      </c>
      <c r="H1137" s="84">
        <v>412.36363636363637</v>
      </c>
      <c r="I1137" s="84"/>
      <c r="J1137" s="84">
        <v>0</v>
      </c>
      <c r="K1137" s="84">
        <v>1166.0048427993734</v>
      </c>
      <c r="L1137" s="84">
        <v>0</v>
      </c>
      <c r="M1137" s="84">
        <v>0</v>
      </c>
      <c r="N1137" s="84">
        <v>285.56515720062663</v>
      </c>
    </row>
    <row r="1138" spans="1:14" x14ac:dyDescent="0.25">
      <c r="A1138" s="74" t="s">
        <v>3001</v>
      </c>
      <c r="B1138" s="74">
        <v>6185</v>
      </c>
      <c r="C1138" t="e">
        <f>VLOOKUP(B1138,'Waste Lookups'!$B$1:$C$292,2,FALSE)</f>
        <v>#N/A</v>
      </c>
      <c r="D1138" s="84">
        <v>0</v>
      </c>
      <c r="E1138" s="84">
        <v>2075.4654545454546</v>
      </c>
      <c r="F1138" s="84">
        <v>446.0509090909091</v>
      </c>
      <c r="G1138" s="84">
        <v>0</v>
      </c>
      <c r="H1138" s="84">
        <v>137.45454545454547</v>
      </c>
      <c r="I1138" s="84"/>
      <c r="J1138" s="84">
        <v>0</v>
      </c>
      <c r="K1138" s="84">
        <v>1704.6166139189872</v>
      </c>
      <c r="L1138" s="84">
        <v>366.3495283069185</v>
      </c>
      <c r="M1138" s="84">
        <v>0</v>
      </c>
      <c r="N1138" s="84">
        <v>112.89385777409444</v>
      </c>
    </row>
    <row r="1139" spans="1:14" x14ac:dyDescent="0.25">
      <c r="A1139" s="74" t="s">
        <v>3003</v>
      </c>
      <c r="B1139" s="74">
        <v>6186</v>
      </c>
      <c r="C1139" t="e">
        <f>VLOOKUP(B1139,'Waste Lookups'!$B$1:$C$292,2,FALSE)</f>
        <v>#N/A</v>
      </c>
      <c r="D1139" s="84">
        <v>0</v>
      </c>
      <c r="E1139" s="84">
        <v>217.59272727272727</v>
      </c>
      <c r="F1139" s="84">
        <v>0</v>
      </c>
      <c r="G1139" s="84">
        <v>0</v>
      </c>
      <c r="H1139" s="84">
        <v>0</v>
      </c>
      <c r="I1139" s="84"/>
      <c r="J1139" s="84">
        <v>0</v>
      </c>
      <c r="K1139" s="84">
        <v>824.13</v>
      </c>
      <c r="L1139" s="84">
        <v>0</v>
      </c>
      <c r="M1139" s="84">
        <v>0</v>
      </c>
      <c r="N1139" s="84">
        <v>0</v>
      </c>
    </row>
    <row r="1140" spans="1:14" x14ac:dyDescent="0.25">
      <c r="A1140" s="74" t="s">
        <v>3005</v>
      </c>
      <c r="B1140" s="74">
        <v>6187</v>
      </c>
      <c r="C1140" t="e">
        <f>VLOOKUP(B1140,'Waste Lookups'!$B$1:$C$292,2,FALSE)</f>
        <v>#N/A</v>
      </c>
      <c r="D1140" s="84">
        <v>0</v>
      </c>
      <c r="E1140" s="84">
        <v>1424.8254545454545</v>
      </c>
      <c r="F1140" s="84">
        <v>0</v>
      </c>
      <c r="G1140" s="84">
        <v>0</v>
      </c>
      <c r="H1140" s="84">
        <v>0</v>
      </c>
      <c r="I1140" s="84"/>
      <c r="J1140" s="84">
        <v>0</v>
      </c>
      <c r="K1140" s="84">
        <v>991.16</v>
      </c>
      <c r="L1140" s="84">
        <v>0</v>
      </c>
      <c r="M1140" s="84">
        <v>0</v>
      </c>
      <c r="N1140" s="84">
        <v>0</v>
      </c>
    </row>
    <row r="1141" spans="1:14" x14ac:dyDescent="0.25">
      <c r="A1141" s="74" t="s">
        <v>3007</v>
      </c>
      <c r="B1141" s="74">
        <v>6188</v>
      </c>
      <c r="C1141" t="e">
        <f>VLOOKUP(B1141,'Waste Lookups'!$B$1:$C$292,2,FALSE)</f>
        <v>#N/A</v>
      </c>
      <c r="D1141" s="84">
        <v>0</v>
      </c>
      <c r="E1141" s="84">
        <v>279.66545454545457</v>
      </c>
      <c r="F1141" s="84">
        <v>0</v>
      </c>
      <c r="G1141" s="84">
        <v>0</v>
      </c>
      <c r="H1141" s="84">
        <v>0</v>
      </c>
      <c r="I1141" s="84"/>
      <c r="J1141" s="84">
        <v>0</v>
      </c>
      <c r="K1141" s="84">
        <v>0</v>
      </c>
      <c r="L1141" s="84">
        <v>0</v>
      </c>
      <c r="M1141" s="84">
        <v>0</v>
      </c>
      <c r="N1141" s="84">
        <v>0</v>
      </c>
    </row>
    <row r="1142" spans="1:14" x14ac:dyDescent="0.25">
      <c r="A1142" s="74" t="s">
        <v>3009</v>
      </c>
      <c r="B1142" s="74">
        <v>6189</v>
      </c>
      <c r="C1142" t="e">
        <f>VLOOKUP(B1142,'Waste Lookups'!$B$1:$C$292,2,FALSE)</f>
        <v>#N/A</v>
      </c>
      <c r="D1142" s="84">
        <v>0</v>
      </c>
      <c r="E1142" s="84">
        <v>7935.3709090909088</v>
      </c>
      <c r="F1142" s="84">
        <v>5361.0109090909091</v>
      </c>
      <c r="G1142" s="84">
        <v>0</v>
      </c>
      <c r="H1142" s="84">
        <v>0</v>
      </c>
      <c r="I1142" s="84"/>
      <c r="J1142" s="84">
        <v>0</v>
      </c>
      <c r="K1142" s="84">
        <v>5247.9667671916213</v>
      </c>
      <c r="L1142" s="84">
        <v>3545.4432328083785</v>
      </c>
      <c r="M1142" s="84">
        <v>0</v>
      </c>
      <c r="N1142" s="84">
        <v>0</v>
      </c>
    </row>
    <row r="1143" spans="1:14" x14ac:dyDescent="0.25">
      <c r="A1143" s="74" t="s">
        <v>3011</v>
      </c>
      <c r="B1143" s="74">
        <v>6190</v>
      </c>
      <c r="C1143" t="e">
        <f>VLOOKUP(B1143,'Waste Lookups'!$B$1:$C$292,2,FALSE)</f>
        <v>#N/A</v>
      </c>
      <c r="D1143" s="84">
        <v>0</v>
      </c>
      <c r="E1143" s="84">
        <v>45.81818181818182</v>
      </c>
      <c r="F1143" s="84">
        <v>0</v>
      </c>
      <c r="G1143" s="84">
        <v>0</v>
      </c>
      <c r="H1143" s="84">
        <v>0</v>
      </c>
      <c r="I1143" s="84"/>
      <c r="J1143" s="84">
        <v>0</v>
      </c>
      <c r="K1143" s="84">
        <v>0</v>
      </c>
      <c r="L1143" s="84">
        <v>0</v>
      </c>
      <c r="M1143" s="84">
        <v>0</v>
      </c>
      <c r="N1143" s="84">
        <v>0</v>
      </c>
    </row>
    <row r="1144" spans="1:14" x14ac:dyDescent="0.25">
      <c r="A1144" s="74" t="s">
        <v>3013</v>
      </c>
      <c r="B1144" s="74">
        <v>6191</v>
      </c>
      <c r="C1144" t="e">
        <f>VLOOKUP(B1144,'Waste Lookups'!$B$1:$C$292,2,FALSE)</f>
        <v>#N/A</v>
      </c>
      <c r="D1144" s="84">
        <v>0</v>
      </c>
      <c r="E1144" s="84">
        <v>494.31272727272733</v>
      </c>
      <c r="F1144" s="84">
        <v>0</v>
      </c>
      <c r="G1144" s="84">
        <v>0</v>
      </c>
      <c r="H1144" s="84">
        <v>65.454545454545453</v>
      </c>
      <c r="I1144" s="84"/>
      <c r="J1144" s="84">
        <v>0</v>
      </c>
      <c r="K1144" s="84">
        <v>1473.8498035547241</v>
      </c>
      <c r="L1144" s="84">
        <v>0</v>
      </c>
      <c r="M1144" s="84">
        <v>0</v>
      </c>
      <c r="N1144" s="84">
        <v>195.16019644527591</v>
      </c>
    </row>
    <row r="1145" spans="1:14" x14ac:dyDescent="0.25">
      <c r="A1145" s="74" t="s">
        <v>3015</v>
      </c>
      <c r="B1145" s="74">
        <v>6192</v>
      </c>
      <c r="C1145" t="e">
        <f>VLOOKUP(B1145,'Waste Lookups'!$B$1:$C$292,2,FALSE)</f>
        <v>#N/A</v>
      </c>
      <c r="D1145" s="84">
        <v>0</v>
      </c>
      <c r="E1145" s="84">
        <v>665.37818181818182</v>
      </c>
      <c r="F1145" s="84">
        <v>0</v>
      </c>
      <c r="G1145" s="84">
        <v>0</v>
      </c>
      <c r="H1145" s="84">
        <v>0</v>
      </c>
      <c r="I1145" s="84"/>
      <c r="J1145" s="84">
        <v>0</v>
      </c>
      <c r="K1145" s="84">
        <v>742.22</v>
      </c>
      <c r="L1145" s="84">
        <v>0</v>
      </c>
      <c r="M1145" s="84">
        <v>0</v>
      </c>
      <c r="N1145" s="84">
        <v>0</v>
      </c>
    </row>
    <row r="1146" spans="1:14" x14ac:dyDescent="0.25">
      <c r="A1146" s="74" t="s">
        <v>3017</v>
      </c>
      <c r="B1146" s="74">
        <v>6193</v>
      </c>
      <c r="C1146" t="e">
        <f>VLOOKUP(B1146,'Waste Lookups'!$B$1:$C$292,2,FALSE)</f>
        <v>#N/A</v>
      </c>
      <c r="D1146" s="84">
        <v>0</v>
      </c>
      <c r="E1146" s="84">
        <v>7.6363636363636367</v>
      </c>
      <c r="F1146" s="84">
        <v>0</v>
      </c>
      <c r="G1146" s="84">
        <v>0</v>
      </c>
      <c r="H1146" s="84">
        <v>0</v>
      </c>
      <c r="I1146" s="84"/>
      <c r="J1146" s="84">
        <v>0</v>
      </c>
      <c r="K1146" s="84">
        <v>431</v>
      </c>
      <c r="L1146" s="84">
        <v>0</v>
      </c>
      <c r="M1146" s="84">
        <v>0</v>
      </c>
      <c r="N1146" s="84">
        <v>0</v>
      </c>
    </row>
    <row r="1147" spans="1:14" x14ac:dyDescent="0.25">
      <c r="A1147" s="74" t="s">
        <v>3019</v>
      </c>
      <c r="B1147" s="74">
        <v>6195</v>
      </c>
      <c r="C1147" t="e">
        <f>VLOOKUP(B1147,'Waste Lookups'!$B$1:$C$292,2,FALSE)</f>
        <v>#N/A</v>
      </c>
      <c r="D1147" s="84">
        <v>0</v>
      </c>
      <c r="E1147" s="84">
        <v>1355.1927272727273</v>
      </c>
      <c r="F1147" s="84">
        <v>111.90545454545455</v>
      </c>
      <c r="G1147" s="84">
        <v>0</v>
      </c>
      <c r="H1147" s="84">
        <v>0</v>
      </c>
      <c r="I1147" s="84"/>
      <c r="J1147" s="84">
        <v>0</v>
      </c>
      <c r="K1147" s="84">
        <v>1173.4241420540732</v>
      </c>
      <c r="L1147" s="84">
        <v>96.89585794592665</v>
      </c>
      <c r="M1147" s="84">
        <v>0</v>
      </c>
      <c r="N1147" s="84">
        <v>0</v>
      </c>
    </row>
    <row r="1148" spans="1:14" x14ac:dyDescent="0.25">
      <c r="A1148" s="74" t="s">
        <v>3021</v>
      </c>
      <c r="B1148" s="74">
        <v>6196</v>
      </c>
      <c r="C1148" t="e">
        <f>VLOOKUP(B1148,'Waste Lookups'!$B$1:$C$292,2,FALSE)</f>
        <v>#N/A</v>
      </c>
      <c r="D1148" s="84">
        <v>0</v>
      </c>
      <c r="E1148" s="84">
        <v>0</v>
      </c>
      <c r="F1148" s="84">
        <v>0</v>
      </c>
      <c r="G1148" s="84">
        <v>0</v>
      </c>
      <c r="H1148" s="84">
        <v>0</v>
      </c>
      <c r="I1148" s="84"/>
      <c r="J1148" s="84">
        <v>0</v>
      </c>
      <c r="K1148" s="84">
        <v>0</v>
      </c>
      <c r="L1148" s="84">
        <v>0</v>
      </c>
      <c r="M1148" s="84">
        <v>0</v>
      </c>
      <c r="N1148" s="84">
        <v>0</v>
      </c>
    </row>
    <row r="1149" spans="1:14" x14ac:dyDescent="0.25">
      <c r="A1149" t="s">
        <v>3023</v>
      </c>
      <c r="B1149" s="74">
        <v>6197</v>
      </c>
      <c r="C1149" t="e">
        <f>VLOOKUP(B1149,'Waste Lookups'!$B$1:$C$292,2,FALSE)</f>
        <v>#N/A</v>
      </c>
      <c r="D1149" s="84">
        <v>0</v>
      </c>
      <c r="E1149" s="84">
        <v>318.99272727272728</v>
      </c>
      <c r="F1149" s="84">
        <v>0</v>
      </c>
      <c r="G1149" s="84">
        <v>0</v>
      </c>
      <c r="H1149" s="84">
        <v>0</v>
      </c>
      <c r="I1149" s="84"/>
      <c r="J1149" s="84">
        <v>0</v>
      </c>
      <c r="K1149" s="84">
        <v>1619.22</v>
      </c>
      <c r="L1149" s="84">
        <v>0</v>
      </c>
      <c r="M1149" s="84">
        <v>0</v>
      </c>
      <c r="N1149" s="84">
        <v>0</v>
      </c>
    </row>
    <row r="1150" spans="1:14" x14ac:dyDescent="0.25">
      <c r="A1150" s="74" t="s">
        <v>3025</v>
      </c>
      <c r="B1150" s="74">
        <v>6199</v>
      </c>
      <c r="C1150" t="e">
        <f>VLOOKUP(B1150,'Waste Lookups'!$B$1:$C$292,2,FALSE)</f>
        <v>#N/A</v>
      </c>
      <c r="D1150" s="84">
        <v>0</v>
      </c>
      <c r="E1150" s="84">
        <v>1995.6436363636362</v>
      </c>
      <c r="F1150" s="84">
        <v>534.51272727272726</v>
      </c>
      <c r="G1150" s="84">
        <v>0</v>
      </c>
      <c r="H1150" s="84">
        <v>0</v>
      </c>
      <c r="I1150" s="84"/>
      <c r="J1150" s="84">
        <v>0</v>
      </c>
      <c r="K1150" s="84">
        <v>2283.2065017612995</v>
      </c>
      <c r="L1150" s="84">
        <v>611.5334982387003</v>
      </c>
      <c r="M1150" s="84">
        <v>0</v>
      </c>
      <c r="N1150" s="84">
        <v>0</v>
      </c>
    </row>
    <row r="1151" spans="1:14" x14ac:dyDescent="0.25">
      <c r="A1151" s="74" t="s">
        <v>3027</v>
      </c>
      <c r="B1151" s="74">
        <v>6200</v>
      </c>
      <c r="C1151" t="e">
        <f>VLOOKUP(B1151,'Waste Lookups'!$B$1:$C$292,2,FALSE)</f>
        <v>#N/A</v>
      </c>
      <c r="D1151" s="84">
        <v>0</v>
      </c>
      <c r="E1151" s="84">
        <v>2747.0290909090909</v>
      </c>
      <c r="F1151" s="84">
        <v>908.55272727272734</v>
      </c>
      <c r="G1151" s="84">
        <v>0</v>
      </c>
      <c r="H1151" s="84">
        <v>0</v>
      </c>
      <c r="I1151" s="84"/>
      <c r="J1151" s="84">
        <v>0</v>
      </c>
      <c r="K1151" s="84">
        <v>2519.2146484429786</v>
      </c>
      <c r="L1151" s="84">
        <v>833.20535155702123</v>
      </c>
      <c r="M1151" s="84">
        <v>0</v>
      </c>
      <c r="N1151" s="84">
        <v>0</v>
      </c>
    </row>
    <row r="1152" spans="1:14" x14ac:dyDescent="0.25">
      <c r="A1152" s="74" t="s">
        <v>3029</v>
      </c>
      <c r="B1152" s="74">
        <v>6201</v>
      </c>
      <c r="C1152" t="e">
        <f>VLOOKUP(B1152,'Waste Lookups'!$B$1:$C$292,2,FALSE)</f>
        <v>#N/A</v>
      </c>
      <c r="D1152" s="84">
        <v>0</v>
      </c>
      <c r="E1152" s="84">
        <v>3722.3236363636361</v>
      </c>
      <c r="F1152" s="84">
        <v>516.32727272727277</v>
      </c>
      <c r="G1152" s="84">
        <v>0</v>
      </c>
      <c r="H1152" s="84">
        <v>549.81818181818187</v>
      </c>
      <c r="I1152" s="84"/>
      <c r="J1152" s="84">
        <v>0</v>
      </c>
      <c r="K1152" s="84">
        <v>2894.5693704877399</v>
      </c>
      <c r="L1152" s="84">
        <v>401.50864212437614</v>
      </c>
      <c r="M1152" s="84">
        <v>0</v>
      </c>
      <c r="N1152" s="84">
        <v>427.55198738788414</v>
      </c>
    </row>
    <row r="1153" spans="1:14" x14ac:dyDescent="0.25">
      <c r="A1153" s="74" t="s">
        <v>3031</v>
      </c>
      <c r="B1153" s="74">
        <v>6203</v>
      </c>
      <c r="C1153" t="e">
        <f>VLOOKUP(B1153,'Waste Lookups'!$B$1:$C$292,2,FALSE)</f>
        <v>#N/A</v>
      </c>
      <c r="D1153" s="84">
        <v>0</v>
      </c>
      <c r="E1153" s="84">
        <v>4731.3818181818187</v>
      </c>
      <c r="F1153" s="84">
        <v>0</v>
      </c>
      <c r="G1153" s="84">
        <v>0</v>
      </c>
      <c r="H1153" s="84">
        <v>183.27272727272728</v>
      </c>
      <c r="I1153" s="84"/>
      <c r="J1153" s="84">
        <v>0</v>
      </c>
      <c r="K1153" s="84">
        <v>2927.7615162815478</v>
      </c>
      <c r="L1153" s="84">
        <v>0</v>
      </c>
      <c r="M1153" s="84">
        <v>0</v>
      </c>
      <c r="N1153" s="84">
        <v>113.40848371845243</v>
      </c>
    </row>
    <row r="1154" spans="1:14" x14ac:dyDescent="0.25">
      <c r="A1154" s="74" t="s">
        <v>3033</v>
      </c>
      <c r="B1154" s="74">
        <v>6205</v>
      </c>
      <c r="C1154" t="e">
        <f>VLOOKUP(B1154,'Waste Lookups'!$B$1:$C$292,2,FALSE)</f>
        <v>#N/A</v>
      </c>
      <c r="D1154" s="84">
        <v>0</v>
      </c>
      <c r="E1154" s="84">
        <v>3471.6436363636367</v>
      </c>
      <c r="F1154" s="84">
        <v>900.44727272727266</v>
      </c>
      <c r="G1154" s="84">
        <v>0</v>
      </c>
      <c r="H1154" s="84">
        <v>0</v>
      </c>
      <c r="I1154" s="84"/>
      <c r="J1154" s="84">
        <v>0</v>
      </c>
      <c r="K1154" s="84">
        <v>2967.9791974549312</v>
      </c>
      <c r="L1154" s="84">
        <v>769.8108025450689</v>
      </c>
      <c r="M1154" s="84">
        <v>0</v>
      </c>
      <c r="N1154" s="84">
        <v>0</v>
      </c>
    </row>
    <row r="1155" spans="1:14" x14ac:dyDescent="0.25">
      <c r="A1155" s="74" t="s">
        <v>3035</v>
      </c>
      <c r="B1155" s="74">
        <v>6207</v>
      </c>
      <c r="C1155" t="e">
        <f>VLOOKUP(B1155,'Waste Lookups'!$B$1:$C$292,2,FALSE)</f>
        <v>#N/A</v>
      </c>
      <c r="D1155" s="84">
        <v>0</v>
      </c>
      <c r="E1155" s="84">
        <v>1273.4945454545452</v>
      </c>
      <c r="F1155" s="84">
        <v>65.050909090909087</v>
      </c>
      <c r="G1155" s="84">
        <v>0</v>
      </c>
      <c r="H1155" s="84">
        <v>137.45454545454547</v>
      </c>
      <c r="I1155" s="84"/>
      <c r="J1155" s="84">
        <v>0</v>
      </c>
      <c r="K1155" s="84">
        <v>923.01607708795268</v>
      </c>
      <c r="L1155" s="84">
        <v>47.148246637102737</v>
      </c>
      <c r="M1155" s="84">
        <v>0</v>
      </c>
      <c r="N1155" s="84">
        <v>99.625676274944595</v>
      </c>
    </row>
    <row r="1156" spans="1:14" x14ac:dyDescent="0.25">
      <c r="A1156" s="74" t="s">
        <v>3037</v>
      </c>
      <c r="B1156" s="74">
        <v>6212</v>
      </c>
      <c r="C1156" t="e">
        <f>VLOOKUP(B1156,'Waste Lookups'!$B$1:$C$292,2,FALSE)</f>
        <v>#N/A</v>
      </c>
      <c r="D1156" s="84">
        <v>0</v>
      </c>
      <c r="E1156" s="84">
        <v>137.45454545454547</v>
      </c>
      <c r="F1156" s="84">
        <v>0</v>
      </c>
      <c r="G1156" s="84">
        <v>0</v>
      </c>
      <c r="H1156" s="84">
        <v>0</v>
      </c>
      <c r="I1156" s="84"/>
      <c r="J1156" s="84">
        <v>0</v>
      </c>
      <c r="K1156" s="84">
        <v>1492.63</v>
      </c>
      <c r="L1156" s="84">
        <v>0</v>
      </c>
      <c r="M1156" s="84">
        <v>0</v>
      </c>
      <c r="N1156" s="84">
        <v>0</v>
      </c>
    </row>
    <row r="1157" spans="1:14" x14ac:dyDescent="0.25">
      <c r="A1157" s="74" t="s">
        <v>3039</v>
      </c>
      <c r="B1157" s="74">
        <v>6256</v>
      </c>
      <c r="C1157" t="e">
        <f>VLOOKUP(B1157,'Waste Lookups'!$B$1:$C$292,2,FALSE)</f>
        <v>#N/A</v>
      </c>
      <c r="D1157" s="84">
        <v>0</v>
      </c>
      <c r="E1157" s="84">
        <v>1704.6654545454544</v>
      </c>
      <c r="F1157" s="84">
        <v>185.35636363636362</v>
      </c>
      <c r="G1157" s="84">
        <v>0</v>
      </c>
      <c r="H1157" s="84">
        <v>0</v>
      </c>
      <c r="I1157" s="84"/>
      <c r="J1157" s="84">
        <v>0</v>
      </c>
      <c r="K1157" s="84">
        <v>2138.4104814374437</v>
      </c>
      <c r="L1157" s="84">
        <v>232.51951856255627</v>
      </c>
      <c r="M1157" s="84">
        <v>0</v>
      </c>
      <c r="N1157" s="84">
        <v>0</v>
      </c>
    </row>
    <row r="1158" spans="1:14" x14ac:dyDescent="0.25">
      <c r="A1158" s="74" t="s">
        <v>3041</v>
      </c>
      <c r="B1158" s="74">
        <v>6257</v>
      </c>
      <c r="C1158" t="e">
        <f>VLOOKUP(B1158,'Waste Lookups'!$B$1:$C$292,2,FALSE)</f>
        <v>#N/A</v>
      </c>
      <c r="D1158" s="84">
        <v>0</v>
      </c>
      <c r="E1158" s="84">
        <v>746.11636363636364</v>
      </c>
      <c r="F1158" s="84">
        <v>0</v>
      </c>
      <c r="G1158" s="84">
        <v>0</v>
      </c>
      <c r="H1158" s="84">
        <v>0</v>
      </c>
      <c r="I1158" s="84"/>
      <c r="J1158" s="84">
        <v>0</v>
      </c>
      <c r="K1158" s="84">
        <v>67.489999999999995</v>
      </c>
      <c r="L1158" s="84">
        <v>0</v>
      </c>
      <c r="M1158" s="84">
        <v>0</v>
      </c>
      <c r="N1158" s="84">
        <v>0</v>
      </c>
    </row>
    <row r="1159" spans="1:14" x14ac:dyDescent="0.25">
      <c r="A1159" s="74" t="s">
        <v>3043</v>
      </c>
      <c r="B1159" s="74">
        <v>6258</v>
      </c>
      <c r="C1159" t="e">
        <f>VLOOKUP(B1159,'Waste Lookups'!$B$1:$C$292,2,FALSE)</f>
        <v>#N/A</v>
      </c>
      <c r="D1159" s="84">
        <v>0</v>
      </c>
      <c r="E1159" s="84">
        <v>78.545454545454547</v>
      </c>
      <c r="F1159" s="84">
        <v>0</v>
      </c>
      <c r="G1159" s="84">
        <v>0</v>
      </c>
      <c r="H1159" s="84">
        <v>0</v>
      </c>
      <c r="I1159" s="84"/>
      <c r="J1159" s="84">
        <v>0</v>
      </c>
      <c r="K1159" s="84">
        <v>0</v>
      </c>
      <c r="L1159" s="84">
        <v>0</v>
      </c>
      <c r="M1159" s="84">
        <v>0</v>
      </c>
      <c r="N1159" s="84">
        <v>0</v>
      </c>
    </row>
    <row r="1160" spans="1:14" x14ac:dyDescent="0.25">
      <c r="A1160" s="74" t="s">
        <v>3045</v>
      </c>
      <c r="B1160" s="74">
        <v>6259</v>
      </c>
      <c r="C1160" t="e">
        <f>VLOOKUP(B1160,'Waste Lookups'!$B$1:$C$292,2,FALSE)</f>
        <v>#N/A</v>
      </c>
      <c r="D1160" s="84">
        <v>0</v>
      </c>
      <c r="E1160" s="84">
        <v>505.68</v>
      </c>
      <c r="F1160" s="84">
        <v>0</v>
      </c>
      <c r="G1160" s="84">
        <v>0</v>
      </c>
      <c r="H1160" s="84">
        <v>0</v>
      </c>
      <c r="I1160" s="84"/>
      <c r="J1160" s="84">
        <v>0</v>
      </c>
      <c r="K1160" s="84">
        <v>442.05</v>
      </c>
      <c r="L1160" s="84">
        <v>0</v>
      </c>
      <c r="M1160" s="84">
        <v>0</v>
      </c>
      <c r="N1160" s="84">
        <v>0</v>
      </c>
    </row>
    <row r="1161" spans="1:14" x14ac:dyDescent="0.25">
      <c r="A1161" s="74" t="s">
        <v>3047</v>
      </c>
      <c r="B1161" s="74">
        <v>6260</v>
      </c>
      <c r="C1161" t="e">
        <f>VLOOKUP(B1161,'Waste Lookups'!$B$1:$C$292,2,FALSE)</f>
        <v>#N/A</v>
      </c>
      <c r="D1161" s="84">
        <v>0</v>
      </c>
      <c r="E1161" s="84">
        <v>2771.8145454545452</v>
      </c>
      <c r="F1161" s="84">
        <v>568.87636363636364</v>
      </c>
      <c r="G1161" s="84">
        <v>0</v>
      </c>
      <c r="H1161" s="84">
        <v>320.72727272727275</v>
      </c>
      <c r="I1161" s="84"/>
      <c r="J1161" s="84">
        <v>0</v>
      </c>
      <c r="K1161" s="84">
        <v>2234.7388299913591</v>
      </c>
      <c r="L1161" s="84">
        <v>458.64904683729111</v>
      </c>
      <c r="M1161" s="84">
        <v>0</v>
      </c>
      <c r="N1161" s="84">
        <v>258.58212317134939</v>
      </c>
    </row>
    <row r="1162" spans="1:14" x14ac:dyDescent="0.25">
      <c r="A1162" s="74" t="s">
        <v>3049</v>
      </c>
      <c r="B1162" s="74">
        <v>6262</v>
      </c>
      <c r="C1162" t="e">
        <f>VLOOKUP(B1162,'Waste Lookups'!$B$1:$C$292,2,FALSE)</f>
        <v>#N/A</v>
      </c>
      <c r="D1162" s="84">
        <v>0</v>
      </c>
      <c r="E1162" s="84">
        <v>2405.0727272727272</v>
      </c>
      <c r="F1162" s="84">
        <v>972.07636363636379</v>
      </c>
      <c r="G1162" s="84">
        <v>0</v>
      </c>
      <c r="H1162" s="84">
        <v>137.45454545454547</v>
      </c>
      <c r="I1162" s="84"/>
      <c r="J1162" s="84">
        <v>0</v>
      </c>
      <c r="K1162" s="84">
        <v>2315.69272112412</v>
      </c>
      <c r="L1162" s="84">
        <v>935.95097317581929</v>
      </c>
      <c r="M1162" s="84">
        <v>0</v>
      </c>
      <c r="N1162" s="84">
        <v>132.34630570006087</v>
      </c>
    </row>
    <row r="1163" spans="1:14" x14ac:dyDescent="0.25">
      <c r="A1163" s="74" t="s">
        <v>3051</v>
      </c>
      <c r="B1163" s="74">
        <v>6272</v>
      </c>
      <c r="C1163" t="e">
        <f>VLOOKUP(B1163,'Waste Lookups'!$B$1:$C$292,2,FALSE)</f>
        <v>#N/A</v>
      </c>
      <c r="D1163" s="84">
        <v>0</v>
      </c>
      <c r="E1163" s="84">
        <v>194.18181818181819</v>
      </c>
      <c r="F1163" s="84">
        <v>0</v>
      </c>
      <c r="G1163" s="84">
        <v>0</v>
      </c>
      <c r="H1163" s="84">
        <v>0</v>
      </c>
      <c r="I1163" s="84"/>
      <c r="J1163" s="84">
        <v>0</v>
      </c>
      <c r="K1163" s="84">
        <v>0</v>
      </c>
      <c r="L1163" s="84">
        <v>0</v>
      </c>
      <c r="M1163" s="84">
        <v>0</v>
      </c>
      <c r="N1163" s="84">
        <v>0</v>
      </c>
    </row>
    <row r="1164" spans="1:14" x14ac:dyDescent="0.25">
      <c r="A1164" s="74" t="s">
        <v>3053</v>
      </c>
      <c r="B1164" s="74">
        <v>6283</v>
      </c>
      <c r="C1164" t="e">
        <f>VLOOKUP(B1164,'Waste Lookups'!$B$1:$C$292,2,FALSE)</f>
        <v>#N/A</v>
      </c>
      <c r="D1164" s="84">
        <v>0</v>
      </c>
      <c r="E1164" s="84">
        <v>74.618181818181824</v>
      </c>
      <c r="F1164" s="84">
        <v>0</v>
      </c>
      <c r="G1164" s="84">
        <v>0</v>
      </c>
      <c r="H1164" s="84">
        <v>0</v>
      </c>
      <c r="I1164" s="84"/>
      <c r="J1164" s="84">
        <v>0</v>
      </c>
      <c r="K1164" s="84">
        <v>635.45000000000005</v>
      </c>
      <c r="L1164" s="84">
        <v>0</v>
      </c>
      <c r="M1164" s="84">
        <v>0</v>
      </c>
      <c r="N1164" s="84">
        <v>0</v>
      </c>
    </row>
    <row r="1165" spans="1:14" x14ac:dyDescent="0.25">
      <c r="A1165" s="74" t="s">
        <v>788</v>
      </c>
      <c r="B1165" s="74">
        <v>6302</v>
      </c>
      <c r="C1165" t="str">
        <f>VLOOKUP(B1165,'Waste Lookups'!$B$1:$C$292,2,FALSE)</f>
        <v>Matthew House</v>
      </c>
      <c r="D1165" s="84">
        <v>0</v>
      </c>
      <c r="E1165" s="84">
        <v>360</v>
      </c>
      <c r="F1165" s="84">
        <v>0</v>
      </c>
      <c r="G1165" s="84">
        <v>0</v>
      </c>
      <c r="H1165" s="84">
        <v>0</v>
      </c>
      <c r="I1165" s="84"/>
      <c r="J1165" s="84">
        <v>0</v>
      </c>
      <c r="K1165" s="84">
        <v>0</v>
      </c>
      <c r="L1165" s="84">
        <v>0</v>
      </c>
      <c r="M1165" s="84">
        <v>0</v>
      </c>
      <c r="N1165" s="84">
        <v>0</v>
      </c>
    </row>
    <row r="1166" spans="1:14" x14ac:dyDescent="0.25">
      <c r="A1166" s="74" t="s">
        <v>3056</v>
      </c>
      <c r="B1166" s="74">
        <v>6331</v>
      </c>
      <c r="C1166" t="e">
        <f>VLOOKUP(B1166,'Waste Lookups'!$B$1:$C$292,2,FALSE)</f>
        <v>#N/A</v>
      </c>
      <c r="D1166" s="84">
        <v>0</v>
      </c>
      <c r="E1166" s="84">
        <v>22.363636363636363</v>
      </c>
      <c r="F1166" s="84">
        <v>0</v>
      </c>
      <c r="G1166" s="84">
        <v>0</v>
      </c>
      <c r="H1166" s="84">
        <v>0</v>
      </c>
      <c r="I1166" s="84"/>
      <c r="J1166" s="84">
        <v>0</v>
      </c>
      <c r="K1166" s="84">
        <v>698.07</v>
      </c>
      <c r="L1166" s="84">
        <v>0</v>
      </c>
      <c r="M1166" s="84">
        <v>0</v>
      </c>
      <c r="N1166" s="84">
        <v>0</v>
      </c>
    </row>
    <row r="1167" spans="1:14" x14ac:dyDescent="0.25">
      <c r="A1167" s="74" t="s">
        <v>789</v>
      </c>
      <c r="B1167" s="74">
        <v>6333</v>
      </c>
      <c r="C1167" t="str">
        <f>VLOOKUP(B1167,'Waste Lookups'!$B$1:$C$292,2,FALSE)</f>
        <v>Gooseberry Hill Health Centre</v>
      </c>
      <c r="D1167" s="84">
        <v>0</v>
      </c>
      <c r="E1167" s="84">
        <v>1604.3018181818181</v>
      </c>
      <c r="F1167" s="84">
        <v>0</v>
      </c>
      <c r="G1167" s="84">
        <v>0</v>
      </c>
      <c r="H1167" s="84">
        <v>0</v>
      </c>
      <c r="I1167" s="84"/>
      <c r="J1167" s="84">
        <v>0</v>
      </c>
      <c r="K1167" s="84">
        <v>1170.26</v>
      </c>
      <c r="L1167" s="84">
        <v>0</v>
      </c>
      <c r="M1167" s="84">
        <v>0</v>
      </c>
      <c r="N1167" s="84">
        <v>0</v>
      </c>
    </row>
    <row r="1168" spans="1:14" x14ac:dyDescent="0.25">
      <c r="A1168" s="74" t="s">
        <v>3059</v>
      </c>
      <c r="B1168" s="74">
        <v>6335</v>
      </c>
      <c r="C1168" t="e">
        <f>VLOOKUP(B1168,'Waste Lookups'!$B$1:$C$292,2,FALSE)</f>
        <v>#N/A</v>
      </c>
      <c r="D1168" s="84">
        <v>0</v>
      </c>
      <c r="E1168" s="84">
        <v>1156.3090909090909</v>
      </c>
      <c r="F1168" s="84">
        <v>0</v>
      </c>
      <c r="G1168" s="84">
        <v>0</v>
      </c>
      <c r="H1168" s="84">
        <v>0</v>
      </c>
      <c r="I1168" s="84"/>
      <c r="J1168" s="84">
        <v>0</v>
      </c>
      <c r="K1168" s="84">
        <v>1503.73</v>
      </c>
      <c r="L1168" s="84">
        <v>0</v>
      </c>
      <c r="M1168" s="84">
        <v>0</v>
      </c>
      <c r="N1168" s="84">
        <v>0</v>
      </c>
    </row>
    <row r="1169" spans="1:14" x14ac:dyDescent="0.25">
      <c r="A1169" s="74" t="s">
        <v>3061</v>
      </c>
      <c r="B1169" s="74">
        <v>6337</v>
      </c>
      <c r="C1169" t="e">
        <f>VLOOKUP(B1169,'Waste Lookups'!$B$1:$C$292,2,FALSE)</f>
        <v>#N/A</v>
      </c>
      <c r="D1169" s="84">
        <v>0</v>
      </c>
      <c r="E1169" s="84">
        <v>6903.0327272727272</v>
      </c>
      <c r="F1169" s="84">
        <v>0</v>
      </c>
      <c r="G1169" s="84">
        <v>0</v>
      </c>
      <c r="H1169" s="84">
        <v>0</v>
      </c>
      <c r="I1169" s="84"/>
      <c r="J1169" s="84">
        <v>0</v>
      </c>
      <c r="K1169" s="84">
        <v>4309.01</v>
      </c>
      <c r="L1169" s="84">
        <v>0</v>
      </c>
      <c r="M1169" s="84">
        <v>0</v>
      </c>
      <c r="N1169" s="84">
        <v>0</v>
      </c>
    </row>
    <row r="1170" spans="1:14" x14ac:dyDescent="0.25">
      <c r="A1170" s="74" t="s">
        <v>3063</v>
      </c>
      <c r="B1170" s="74">
        <v>6338</v>
      </c>
      <c r="C1170" t="e">
        <f>VLOOKUP(B1170,'Waste Lookups'!$B$1:$C$292,2,FALSE)</f>
        <v>#N/A</v>
      </c>
      <c r="D1170" s="84">
        <v>0</v>
      </c>
      <c r="E1170" s="84">
        <v>0</v>
      </c>
      <c r="F1170" s="84">
        <v>0</v>
      </c>
      <c r="G1170" s="84">
        <v>0</v>
      </c>
      <c r="H1170" s="84">
        <v>20.16</v>
      </c>
      <c r="I1170" s="84"/>
      <c r="J1170" s="84">
        <v>0</v>
      </c>
      <c r="K1170" s="84">
        <v>0</v>
      </c>
      <c r="L1170" s="84">
        <v>0</v>
      </c>
      <c r="M1170" s="84">
        <v>0</v>
      </c>
      <c r="N1170" s="84">
        <v>881.94</v>
      </c>
    </row>
    <row r="1171" spans="1:14" x14ac:dyDescent="0.25">
      <c r="A1171" s="74" t="s">
        <v>3065</v>
      </c>
      <c r="B1171" s="74">
        <v>6339</v>
      </c>
      <c r="C1171" t="e">
        <f>VLOOKUP(B1171,'Waste Lookups'!$B$1:$C$292,2,FALSE)</f>
        <v>#N/A</v>
      </c>
      <c r="D1171" s="84">
        <v>0</v>
      </c>
      <c r="E1171" s="84">
        <v>3551.9672727272728</v>
      </c>
      <c r="F1171" s="84">
        <v>0</v>
      </c>
      <c r="G1171" s="84">
        <v>0</v>
      </c>
      <c r="H1171" s="84">
        <v>0</v>
      </c>
      <c r="I1171" s="84"/>
      <c r="J1171" s="84">
        <v>0</v>
      </c>
      <c r="K1171" s="84">
        <v>2591.1</v>
      </c>
      <c r="L1171" s="84">
        <v>0</v>
      </c>
      <c r="M1171" s="84">
        <v>0</v>
      </c>
      <c r="N1171" s="84">
        <v>0</v>
      </c>
    </row>
    <row r="1172" spans="1:14" x14ac:dyDescent="0.25">
      <c r="A1172" s="74" t="s">
        <v>3067</v>
      </c>
      <c r="B1172" s="74">
        <v>6340</v>
      </c>
      <c r="C1172" t="e">
        <f>VLOOKUP(B1172,'Waste Lookups'!$B$1:$C$292,2,FALSE)</f>
        <v>#N/A</v>
      </c>
      <c r="D1172" s="84">
        <v>0</v>
      </c>
      <c r="E1172" s="84">
        <v>5676.6327272727276</v>
      </c>
      <c r="F1172" s="84">
        <v>0</v>
      </c>
      <c r="G1172" s="84">
        <v>0</v>
      </c>
      <c r="H1172" s="84">
        <v>0</v>
      </c>
      <c r="I1172" s="84"/>
      <c r="J1172" s="84">
        <v>0</v>
      </c>
      <c r="K1172" s="84">
        <v>2891.67</v>
      </c>
      <c r="L1172" s="84">
        <v>0</v>
      </c>
      <c r="M1172" s="84">
        <v>0</v>
      </c>
      <c r="N1172" s="84">
        <v>0</v>
      </c>
    </row>
    <row r="1173" spans="1:14" x14ac:dyDescent="0.25">
      <c r="A1173" s="74" t="s">
        <v>3069</v>
      </c>
      <c r="B1173" s="74">
        <v>6342</v>
      </c>
      <c r="C1173" t="e">
        <f>VLOOKUP(B1173,'Waste Lookups'!$B$1:$C$292,2,FALSE)</f>
        <v>#N/A</v>
      </c>
      <c r="D1173" s="84">
        <v>0</v>
      </c>
      <c r="E1173" s="84">
        <v>418.4618181818181</v>
      </c>
      <c r="F1173" s="84">
        <v>0</v>
      </c>
      <c r="G1173" s="84">
        <v>0</v>
      </c>
      <c r="H1173" s="84">
        <v>0</v>
      </c>
      <c r="I1173" s="84"/>
      <c r="J1173" s="84">
        <v>0</v>
      </c>
      <c r="K1173" s="84">
        <v>1076.29</v>
      </c>
      <c r="L1173" s="84">
        <v>0</v>
      </c>
      <c r="M1173" s="84">
        <v>0</v>
      </c>
      <c r="N1173" s="84">
        <v>0</v>
      </c>
    </row>
    <row r="1174" spans="1:14" x14ac:dyDescent="0.25">
      <c r="A1174" s="74" t="s">
        <v>3071</v>
      </c>
      <c r="B1174" s="74">
        <v>6343</v>
      </c>
      <c r="C1174" t="e">
        <f>VLOOKUP(B1174,'Waste Lookups'!$B$1:$C$292,2,FALSE)</f>
        <v>#N/A</v>
      </c>
      <c r="D1174" s="84">
        <v>0</v>
      </c>
      <c r="E1174" s="84">
        <v>1263.4036363636362</v>
      </c>
      <c r="F1174" s="84">
        <v>0</v>
      </c>
      <c r="G1174" s="84">
        <v>0</v>
      </c>
      <c r="H1174" s="84">
        <v>20.16</v>
      </c>
      <c r="I1174" s="84"/>
      <c r="J1174" s="84">
        <v>0</v>
      </c>
      <c r="K1174" s="84">
        <v>865.44026007139212</v>
      </c>
      <c r="L1174" s="84">
        <v>0</v>
      </c>
      <c r="M1174" s="84">
        <v>0</v>
      </c>
      <c r="N1174" s="84">
        <v>13.809739928607854</v>
      </c>
    </row>
    <row r="1175" spans="1:14" x14ac:dyDescent="0.25">
      <c r="A1175" s="74" t="s">
        <v>3073</v>
      </c>
      <c r="B1175" s="74">
        <v>6344</v>
      </c>
      <c r="C1175" t="e">
        <f>VLOOKUP(B1175,'Waste Lookups'!$B$1:$C$292,2,FALSE)</f>
        <v>#N/A</v>
      </c>
      <c r="D1175" s="84">
        <v>0</v>
      </c>
      <c r="E1175" s="84">
        <v>119.37818181818183</v>
      </c>
      <c r="F1175" s="84">
        <v>0</v>
      </c>
      <c r="G1175" s="84">
        <v>0</v>
      </c>
      <c r="H1175" s="84">
        <v>0</v>
      </c>
      <c r="I1175" s="84"/>
      <c r="J1175" s="84">
        <v>0</v>
      </c>
      <c r="K1175" s="84">
        <v>698.54</v>
      </c>
      <c r="L1175" s="84">
        <v>0</v>
      </c>
      <c r="M1175" s="84">
        <v>0</v>
      </c>
      <c r="N1175" s="84">
        <v>0</v>
      </c>
    </row>
    <row r="1176" spans="1:14" x14ac:dyDescent="0.25">
      <c r="A1176" s="74" t="s">
        <v>790</v>
      </c>
      <c r="B1176" s="74">
        <v>6345</v>
      </c>
      <c r="C1176" t="str">
        <f>VLOOKUP(B1176,'Waste Lookups'!$B$1:$C$292,2,FALSE)</f>
        <v>The Lodge</v>
      </c>
      <c r="D1176" s="84">
        <v>0</v>
      </c>
      <c r="E1176" s="84">
        <v>1786.9309090909092</v>
      </c>
      <c r="F1176" s="84">
        <v>0</v>
      </c>
      <c r="G1176" s="84">
        <v>0</v>
      </c>
      <c r="H1176" s="84">
        <v>20.16</v>
      </c>
      <c r="I1176" s="84"/>
      <c r="J1176" s="84">
        <v>0</v>
      </c>
      <c r="K1176" s="84">
        <v>1157.5506140658013</v>
      </c>
      <c r="L1176" s="84">
        <v>0</v>
      </c>
      <c r="M1176" s="84">
        <v>0</v>
      </c>
      <c r="N1176" s="84">
        <v>13.059385934198611</v>
      </c>
    </row>
    <row r="1177" spans="1:14" x14ac:dyDescent="0.25">
      <c r="A1177" s="74" t="s">
        <v>3076</v>
      </c>
      <c r="B1177" s="74">
        <v>6347</v>
      </c>
      <c r="C1177" t="e">
        <f>VLOOKUP(B1177,'Waste Lookups'!$B$1:$C$292,2,FALSE)</f>
        <v>#N/A</v>
      </c>
      <c r="D1177" s="84">
        <v>0</v>
      </c>
      <c r="E1177" s="84">
        <v>4724.2036363636371</v>
      </c>
      <c r="F1177" s="84">
        <v>0</v>
      </c>
      <c r="G1177" s="84">
        <v>0</v>
      </c>
      <c r="H1177" s="84">
        <v>0</v>
      </c>
      <c r="I1177" s="84"/>
      <c r="J1177" s="84">
        <v>0</v>
      </c>
      <c r="K1177" s="84">
        <v>3462.34</v>
      </c>
      <c r="L1177" s="84">
        <v>0</v>
      </c>
      <c r="M1177" s="84">
        <v>0</v>
      </c>
      <c r="N1177" s="84">
        <v>0</v>
      </c>
    </row>
    <row r="1178" spans="1:14" x14ac:dyDescent="0.25">
      <c r="A1178" s="74" t="s">
        <v>3078</v>
      </c>
      <c r="B1178" s="74">
        <v>6366</v>
      </c>
      <c r="C1178" t="e">
        <f>VLOOKUP(B1178,'Waste Lookups'!$B$1:$C$292,2,FALSE)</f>
        <v>#N/A</v>
      </c>
      <c r="D1178" s="84">
        <v>0</v>
      </c>
      <c r="E1178" s="84">
        <v>1675.6363636363635</v>
      </c>
      <c r="F1178" s="84">
        <v>0</v>
      </c>
      <c r="G1178" s="84">
        <v>0</v>
      </c>
      <c r="H1178" s="84">
        <v>0</v>
      </c>
      <c r="I1178" s="84"/>
      <c r="J1178" s="84">
        <v>0</v>
      </c>
      <c r="K1178" s="84">
        <v>2950</v>
      </c>
      <c r="L1178" s="84">
        <v>0</v>
      </c>
      <c r="M1178" s="84">
        <v>0</v>
      </c>
      <c r="N1178" s="84">
        <v>0</v>
      </c>
    </row>
    <row r="1179" spans="1:14" x14ac:dyDescent="0.25">
      <c r="A1179" s="74" t="s">
        <v>3080</v>
      </c>
      <c r="B1179" s="74">
        <v>6377</v>
      </c>
      <c r="C1179" t="e">
        <f>VLOOKUP(B1179,'Waste Lookups'!$B$1:$C$292,2,FALSE)</f>
        <v>#N/A</v>
      </c>
      <c r="D1179" s="84">
        <v>0</v>
      </c>
      <c r="E1179" s="84">
        <v>501.69818181818175</v>
      </c>
      <c r="F1179" s="84">
        <v>0</v>
      </c>
      <c r="G1179" s="84">
        <v>0</v>
      </c>
      <c r="H1179" s="84">
        <v>0</v>
      </c>
      <c r="I1179" s="84"/>
      <c r="J1179" s="84">
        <v>0</v>
      </c>
      <c r="K1179" s="84">
        <v>0</v>
      </c>
      <c r="L1179" s="84">
        <v>0</v>
      </c>
      <c r="M1179" s="84">
        <v>0</v>
      </c>
      <c r="N1179" s="84">
        <v>0</v>
      </c>
    </row>
    <row r="1180" spans="1:14" x14ac:dyDescent="0.25">
      <c r="A1180" s="74" t="s">
        <v>701</v>
      </c>
      <c r="B1180" s="74">
        <v>6379</v>
      </c>
      <c r="C1180" t="str">
        <f>VLOOKUP(B1180,'Waste Lookups'!$B$1:$C$292,2,FALSE)</f>
        <v>Sherwood House Bletchley</v>
      </c>
      <c r="D1180" s="84">
        <v>0</v>
      </c>
      <c r="E1180" s="84">
        <v>152.57454545454547</v>
      </c>
      <c r="F1180" s="84">
        <v>0</v>
      </c>
      <c r="G1180" s="84">
        <v>0</v>
      </c>
      <c r="H1180" s="84">
        <v>871.69090909090914</v>
      </c>
      <c r="I1180" s="84"/>
      <c r="J1180" s="84">
        <v>0</v>
      </c>
      <c r="K1180" s="84">
        <v>12.027027510624022</v>
      </c>
      <c r="L1180" s="84">
        <v>0</v>
      </c>
      <c r="M1180" s="84">
        <v>0</v>
      </c>
      <c r="N1180" s="84">
        <v>68.712972489375986</v>
      </c>
    </row>
    <row r="1181" spans="1:14" x14ac:dyDescent="0.25">
      <c r="A1181" s="74" t="s">
        <v>3083</v>
      </c>
      <c r="B1181" s="74">
        <v>6384</v>
      </c>
      <c r="C1181" t="e">
        <f>VLOOKUP(B1181,'Waste Lookups'!$B$1:$C$292,2,FALSE)</f>
        <v>#N/A</v>
      </c>
      <c r="D1181" s="84">
        <v>0</v>
      </c>
      <c r="E1181" s="84">
        <v>2576.7272727272725</v>
      </c>
      <c r="F1181" s="84">
        <v>0</v>
      </c>
      <c r="G1181" s="84">
        <v>0</v>
      </c>
      <c r="H1181" s="84">
        <v>0</v>
      </c>
      <c r="I1181" s="84"/>
      <c r="J1181" s="84">
        <v>0</v>
      </c>
      <c r="K1181" s="84">
        <v>0</v>
      </c>
      <c r="L1181" s="84">
        <v>0</v>
      </c>
      <c r="M1181" s="84">
        <v>0</v>
      </c>
      <c r="N1181" s="84">
        <v>0</v>
      </c>
    </row>
    <row r="1182" spans="1:14" x14ac:dyDescent="0.25">
      <c r="A1182" s="74" t="s">
        <v>3085</v>
      </c>
      <c r="B1182" s="74">
        <v>6405</v>
      </c>
      <c r="C1182" t="e">
        <f>VLOOKUP(B1182,'Waste Lookups'!$B$1:$C$292,2,FALSE)</f>
        <v>#N/A</v>
      </c>
      <c r="D1182" s="84">
        <v>0</v>
      </c>
      <c r="E1182" s="84">
        <v>216.05454545454546</v>
      </c>
      <c r="F1182" s="84">
        <v>0</v>
      </c>
      <c r="G1182" s="84">
        <v>196.84363636363634</v>
      </c>
      <c r="H1182" s="84">
        <v>0</v>
      </c>
      <c r="I1182" s="84"/>
      <c r="J1182" s="84">
        <v>0</v>
      </c>
      <c r="K1182" s="84">
        <v>582.95739385452714</v>
      </c>
      <c r="L1182" s="84">
        <v>0</v>
      </c>
      <c r="M1182" s="84">
        <v>531.12260614547267</v>
      </c>
      <c r="N1182" s="84">
        <v>0</v>
      </c>
    </row>
    <row r="1183" spans="1:14" x14ac:dyDescent="0.25">
      <c r="A1183" s="74" t="s">
        <v>3087</v>
      </c>
      <c r="B1183" s="74">
        <v>6406</v>
      </c>
      <c r="C1183" t="e">
        <f>VLOOKUP(B1183,'Waste Lookups'!$B$1:$C$292,2,FALSE)</f>
        <v>#N/A</v>
      </c>
      <c r="D1183" s="84">
        <v>0</v>
      </c>
      <c r="E1183" s="84">
        <v>314.0836363636364</v>
      </c>
      <c r="F1183" s="84">
        <v>0</v>
      </c>
      <c r="G1183" s="84">
        <v>159.3490909090909</v>
      </c>
      <c r="H1183" s="84">
        <v>0</v>
      </c>
      <c r="I1183" s="84"/>
      <c r="J1183" s="84">
        <v>0</v>
      </c>
      <c r="K1183" s="84">
        <v>2233.1036789713812</v>
      </c>
      <c r="L1183" s="84">
        <v>0</v>
      </c>
      <c r="M1183" s="84">
        <v>1132.9563210286187</v>
      </c>
      <c r="N1183" s="84">
        <v>0</v>
      </c>
    </row>
    <row r="1184" spans="1:14" x14ac:dyDescent="0.25">
      <c r="A1184" s="74" t="s">
        <v>3089</v>
      </c>
      <c r="B1184" s="74">
        <v>6407</v>
      </c>
      <c r="C1184" t="e">
        <f>VLOOKUP(B1184,'Waste Lookups'!$B$1:$C$292,2,FALSE)</f>
        <v>#N/A</v>
      </c>
      <c r="D1184" s="84">
        <v>0</v>
      </c>
      <c r="E1184" s="84">
        <v>571.97454545454548</v>
      </c>
      <c r="F1184" s="84">
        <v>0</v>
      </c>
      <c r="G1184" s="84">
        <v>103.99636363636364</v>
      </c>
      <c r="H1184" s="84">
        <v>0</v>
      </c>
      <c r="I1184" s="84"/>
      <c r="J1184" s="84">
        <v>0</v>
      </c>
      <c r="K1184" s="84">
        <v>1482.4509019753405</v>
      </c>
      <c r="L1184" s="84">
        <v>0</v>
      </c>
      <c r="M1184" s="84">
        <v>269.53909802465944</v>
      </c>
      <c r="N1184" s="84">
        <v>0</v>
      </c>
    </row>
    <row r="1185" spans="1:14" x14ac:dyDescent="0.25">
      <c r="A1185" s="74" t="s">
        <v>3091</v>
      </c>
      <c r="B1185" s="74">
        <v>6408</v>
      </c>
      <c r="C1185" t="e">
        <f>VLOOKUP(B1185,'Waste Lookups'!$B$1:$C$292,2,FALSE)</f>
        <v>#N/A</v>
      </c>
      <c r="D1185" s="84">
        <v>0</v>
      </c>
      <c r="E1185" s="84">
        <v>272.97818181818178</v>
      </c>
      <c r="F1185" s="84">
        <v>0</v>
      </c>
      <c r="G1185" s="84">
        <v>93.709090909090918</v>
      </c>
      <c r="H1185" s="84">
        <v>0</v>
      </c>
      <c r="I1185" s="84"/>
      <c r="J1185" s="84">
        <v>0</v>
      </c>
      <c r="K1185" s="84">
        <v>688.86391634189147</v>
      </c>
      <c r="L1185" s="84">
        <v>0</v>
      </c>
      <c r="M1185" s="84">
        <v>236.47608365810851</v>
      </c>
      <c r="N1185" s="84">
        <v>0</v>
      </c>
    </row>
    <row r="1186" spans="1:14" x14ac:dyDescent="0.25">
      <c r="A1186" s="74" t="s">
        <v>3093</v>
      </c>
      <c r="B1186" s="74">
        <v>6410</v>
      </c>
      <c r="C1186" t="e">
        <f>VLOOKUP(B1186,'Waste Lookups'!$B$1:$C$292,2,FALSE)</f>
        <v>#N/A</v>
      </c>
      <c r="D1186" s="84">
        <v>0</v>
      </c>
      <c r="E1186" s="84">
        <v>686.70545454545447</v>
      </c>
      <c r="F1186" s="84">
        <v>0</v>
      </c>
      <c r="G1186" s="84">
        <v>554.32363636363641</v>
      </c>
      <c r="H1186" s="84">
        <v>0</v>
      </c>
      <c r="I1186" s="84"/>
      <c r="J1186" s="84">
        <v>0</v>
      </c>
      <c r="K1186" s="84">
        <v>1152.4318492277666</v>
      </c>
      <c r="L1186" s="84">
        <v>0</v>
      </c>
      <c r="M1186" s="84">
        <v>930.26815077223296</v>
      </c>
      <c r="N1186" s="84">
        <v>0</v>
      </c>
    </row>
    <row r="1187" spans="1:14" x14ac:dyDescent="0.25">
      <c r="A1187" s="74" t="s">
        <v>3095</v>
      </c>
      <c r="B1187" s="74">
        <v>6412</v>
      </c>
      <c r="C1187" t="e">
        <f>VLOOKUP(B1187,'Waste Lookups'!$B$1:$C$292,2,FALSE)</f>
        <v>#N/A</v>
      </c>
      <c r="D1187" s="84">
        <v>0</v>
      </c>
      <c r="E1187" s="84">
        <v>161.7381818181818</v>
      </c>
      <c r="F1187" s="84">
        <v>0</v>
      </c>
      <c r="G1187" s="84">
        <v>103.10181818181817</v>
      </c>
      <c r="H1187" s="84">
        <v>0</v>
      </c>
      <c r="I1187" s="84"/>
      <c r="J1187" s="84">
        <v>0</v>
      </c>
      <c r="K1187" s="84">
        <v>567.78749351237798</v>
      </c>
      <c r="L1187" s="84">
        <v>0</v>
      </c>
      <c r="M1187" s="84">
        <v>361.94250648762204</v>
      </c>
      <c r="N1187" s="84">
        <v>0</v>
      </c>
    </row>
    <row r="1188" spans="1:14" x14ac:dyDescent="0.25">
      <c r="A1188" s="74" t="s">
        <v>712</v>
      </c>
      <c r="B1188" s="74">
        <v>6413</v>
      </c>
      <c r="C1188" t="str">
        <f>VLOOKUP(B1188,'Waste Lookups'!$B$1:$C$292,2,FALSE)</f>
        <v>Fosse House</v>
      </c>
      <c r="D1188" s="84">
        <v>0</v>
      </c>
      <c r="E1188" s="84">
        <v>285.75272727272727</v>
      </c>
      <c r="F1188" s="84">
        <v>0</v>
      </c>
      <c r="G1188" s="84">
        <v>38.596363636363641</v>
      </c>
      <c r="H1188" s="84">
        <v>0</v>
      </c>
      <c r="I1188" s="84"/>
      <c r="J1188" s="84">
        <v>0</v>
      </c>
      <c r="K1188" s="84">
        <v>5846.7806067536658</v>
      </c>
      <c r="L1188" s="84">
        <v>0</v>
      </c>
      <c r="M1188" s="84">
        <v>789.71939324633399</v>
      </c>
      <c r="N1188" s="84">
        <v>0</v>
      </c>
    </row>
    <row r="1189" spans="1:14" x14ac:dyDescent="0.25">
      <c r="A1189" s="74" t="s">
        <v>3098</v>
      </c>
      <c r="B1189" s="74">
        <v>6415</v>
      </c>
      <c r="C1189" t="e">
        <f>VLOOKUP(B1189,'Waste Lookups'!$B$1:$C$292,2,FALSE)</f>
        <v>#N/A</v>
      </c>
      <c r="D1189" s="84">
        <v>0</v>
      </c>
      <c r="E1189" s="84">
        <v>1659.3818181818183</v>
      </c>
      <c r="F1189" s="84">
        <v>0</v>
      </c>
      <c r="G1189" s="84">
        <v>84.36</v>
      </c>
      <c r="H1189" s="84">
        <v>0</v>
      </c>
      <c r="I1189" s="84"/>
      <c r="J1189" s="84">
        <v>0</v>
      </c>
      <c r="K1189" s="84">
        <v>8996.4086929049136</v>
      </c>
      <c r="L1189" s="84">
        <v>0</v>
      </c>
      <c r="M1189" s="84">
        <v>457.36130709508706</v>
      </c>
      <c r="N1189" s="84">
        <v>0</v>
      </c>
    </row>
    <row r="1190" spans="1:14" x14ac:dyDescent="0.25">
      <c r="A1190" s="74" t="s">
        <v>3100</v>
      </c>
      <c r="B1190" s="74">
        <v>6417</v>
      </c>
      <c r="C1190" t="e">
        <f>VLOOKUP(B1190,'Waste Lookups'!$B$1:$C$292,2,FALSE)</f>
        <v>#N/A</v>
      </c>
      <c r="D1190" s="84">
        <v>0</v>
      </c>
      <c r="E1190" s="84">
        <v>280.84363636363639</v>
      </c>
      <c r="F1190" s="84">
        <v>0</v>
      </c>
      <c r="G1190" s="84">
        <v>323.20363636363635</v>
      </c>
      <c r="H1190" s="84">
        <v>0</v>
      </c>
      <c r="I1190" s="84"/>
      <c r="J1190" s="84">
        <v>0</v>
      </c>
      <c r="K1190" s="84">
        <v>715.68143324122752</v>
      </c>
      <c r="L1190" s="84">
        <v>0</v>
      </c>
      <c r="M1190" s="84">
        <v>823.62856675877265</v>
      </c>
      <c r="N1190" s="84">
        <v>0</v>
      </c>
    </row>
    <row r="1191" spans="1:14" x14ac:dyDescent="0.25">
      <c r="A1191" s="74" t="s">
        <v>3102</v>
      </c>
      <c r="B1191" s="74">
        <v>6418</v>
      </c>
      <c r="C1191" t="e">
        <f>VLOOKUP(B1191,'Waste Lookups'!$B$1:$C$292,2,FALSE)</f>
        <v>#N/A</v>
      </c>
      <c r="D1191" s="84">
        <v>0</v>
      </c>
      <c r="E1191" s="84">
        <v>497.33454545454549</v>
      </c>
      <c r="F1191" s="84">
        <v>0</v>
      </c>
      <c r="G1191" s="84">
        <v>243.70909090909089</v>
      </c>
      <c r="H1191" s="84">
        <v>0</v>
      </c>
      <c r="I1191" s="84"/>
      <c r="J1191" s="84">
        <v>0</v>
      </c>
      <c r="K1191" s="84">
        <v>1496.7210505086193</v>
      </c>
      <c r="L1191" s="84">
        <v>0</v>
      </c>
      <c r="M1191" s="84">
        <v>733.43894949138064</v>
      </c>
      <c r="N1191" s="84">
        <v>0</v>
      </c>
    </row>
    <row r="1192" spans="1:14" x14ac:dyDescent="0.25">
      <c r="A1192" s="74" t="s">
        <v>3104</v>
      </c>
      <c r="B1192" s="74">
        <v>6419</v>
      </c>
      <c r="C1192" t="e">
        <f>VLOOKUP(B1192,'Waste Lookups'!$B$1:$C$292,2,FALSE)</f>
        <v>#N/A</v>
      </c>
      <c r="D1192" s="84">
        <v>0</v>
      </c>
      <c r="E1192" s="84">
        <v>103.99636363636364</v>
      </c>
      <c r="F1192" s="84">
        <v>0</v>
      </c>
      <c r="G1192" s="84">
        <v>64.99636363636364</v>
      </c>
      <c r="H1192" s="84">
        <v>0</v>
      </c>
      <c r="I1192" s="84"/>
      <c r="J1192" s="84">
        <v>0</v>
      </c>
      <c r="K1192" s="84">
        <v>1316.9213956490864</v>
      </c>
      <c r="L1192" s="84">
        <v>0</v>
      </c>
      <c r="M1192" s="84">
        <v>823.05860435091336</v>
      </c>
      <c r="N1192" s="84">
        <v>0</v>
      </c>
    </row>
    <row r="1193" spans="1:14" x14ac:dyDescent="0.25">
      <c r="A1193" s="74" t="s">
        <v>3106</v>
      </c>
      <c r="B1193" s="74">
        <v>6422</v>
      </c>
      <c r="C1193" t="e">
        <f>VLOOKUP(B1193,'Waste Lookups'!$B$1:$C$292,2,FALSE)</f>
        <v>#N/A</v>
      </c>
      <c r="D1193" s="84">
        <v>0</v>
      </c>
      <c r="E1193" s="84">
        <v>963.1745454545453</v>
      </c>
      <c r="F1193" s="84">
        <v>0</v>
      </c>
      <c r="G1193" s="84">
        <v>511.34181818181821</v>
      </c>
      <c r="H1193" s="84">
        <v>0</v>
      </c>
      <c r="I1193" s="84"/>
      <c r="J1193" s="84">
        <v>0</v>
      </c>
      <c r="K1193" s="84">
        <v>2310.5350491255062</v>
      </c>
      <c r="L1193" s="84">
        <v>0</v>
      </c>
      <c r="M1193" s="84">
        <v>1226.6449508744934</v>
      </c>
      <c r="N1193" s="84">
        <v>0</v>
      </c>
    </row>
    <row r="1194" spans="1:14" x14ac:dyDescent="0.25">
      <c r="A1194" s="74" t="s">
        <v>3108</v>
      </c>
      <c r="B1194" s="74">
        <v>6424</v>
      </c>
      <c r="C1194" t="e">
        <f>VLOOKUP(B1194,'Waste Lookups'!$B$1:$C$292,2,FALSE)</f>
        <v>#N/A</v>
      </c>
      <c r="D1194" s="84">
        <v>0</v>
      </c>
      <c r="E1194" s="84">
        <v>2526.0981818181822</v>
      </c>
      <c r="F1194" s="84">
        <v>0</v>
      </c>
      <c r="G1194" s="84">
        <v>581.40000000000009</v>
      </c>
      <c r="H1194" s="84">
        <v>0</v>
      </c>
      <c r="I1194" s="84"/>
      <c r="J1194" s="84">
        <v>0</v>
      </c>
      <c r="K1194" s="84">
        <v>9721.4313631193527</v>
      </c>
      <c r="L1194" s="84">
        <v>0</v>
      </c>
      <c r="M1194" s="84">
        <v>2237.4586368806476</v>
      </c>
      <c r="N1194" s="84">
        <v>0</v>
      </c>
    </row>
    <row r="1195" spans="1:14" x14ac:dyDescent="0.25">
      <c r="A1195" s="74" t="s">
        <v>3110</v>
      </c>
      <c r="B1195" s="74">
        <v>6425</v>
      </c>
      <c r="C1195" t="e">
        <f>VLOOKUP(B1195,'Waste Lookups'!$B$1:$C$292,2,FALSE)</f>
        <v>#N/A</v>
      </c>
      <c r="D1195" s="84">
        <v>0</v>
      </c>
      <c r="E1195" s="84">
        <v>14.16</v>
      </c>
      <c r="F1195" s="84">
        <v>0</v>
      </c>
      <c r="G1195" s="84">
        <v>28.941818181818185</v>
      </c>
      <c r="H1195" s="84">
        <v>0</v>
      </c>
      <c r="I1195" s="84"/>
      <c r="J1195" s="84">
        <v>0</v>
      </c>
      <c r="K1195" s="84">
        <v>124.45162237408249</v>
      </c>
      <c r="L1195" s="84">
        <v>0</v>
      </c>
      <c r="M1195" s="84">
        <v>254.36837762591745</v>
      </c>
      <c r="N1195" s="84">
        <v>0</v>
      </c>
    </row>
    <row r="1196" spans="1:14" x14ac:dyDescent="0.25">
      <c r="A1196" s="74" t="s">
        <v>3112</v>
      </c>
      <c r="B1196" s="74">
        <v>6426</v>
      </c>
      <c r="C1196" t="e">
        <f>VLOOKUP(B1196,'Waste Lookups'!$B$1:$C$292,2,FALSE)</f>
        <v>#N/A</v>
      </c>
      <c r="D1196" s="84">
        <v>0</v>
      </c>
      <c r="E1196" s="84">
        <v>422.33454545454549</v>
      </c>
      <c r="F1196" s="84">
        <v>0</v>
      </c>
      <c r="G1196" s="84">
        <v>164.47636363636366</v>
      </c>
      <c r="H1196" s="84">
        <v>0</v>
      </c>
      <c r="I1196" s="84"/>
      <c r="J1196" s="84">
        <v>0</v>
      </c>
      <c r="K1196" s="84">
        <v>1557.4196482682976</v>
      </c>
      <c r="L1196" s="84">
        <v>0</v>
      </c>
      <c r="M1196" s="84">
        <v>606.53035173170235</v>
      </c>
      <c r="N1196" s="84">
        <v>0</v>
      </c>
    </row>
    <row r="1197" spans="1:14" x14ac:dyDescent="0.25">
      <c r="A1197" s="74" t="s">
        <v>3114</v>
      </c>
      <c r="B1197" s="74">
        <v>6427</v>
      </c>
      <c r="C1197" t="e">
        <f>VLOOKUP(B1197,'Waste Lookups'!$B$1:$C$292,2,FALSE)</f>
        <v>#N/A</v>
      </c>
      <c r="D1197" s="84">
        <v>0</v>
      </c>
      <c r="E1197" s="84">
        <v>506.6945454545455</v>
      </c>
      <c r="F1197" s="84">
        <v>0</v>
      </c>
      <c r="G1197" s="84">
        <v>84.36</v>
      </c>
      <c r="H1197" s="84">
        <v>0</v>
      </c>
      <c r="I1197" s="84"/>
      <c r="J1197" s="84">
        <v>0</v>
      </c>
      <c r="K1197" s="84">
        <v>2518.2452375415282</v>
      </c>
      <c r="L1197" s="84">
        <v>0</v>
      </c>
      <c r="M1197" s="84">
        <v>419.26476245847175</v>
      </c>
      <c r="N1197" s="84">
        <v>0</v>
      </c>
    </row>
    <row r="1198" spans="1:14" x14ac:dyDescent="0.25">
      <c r="A1198" s="74" t="s">
        <v>3116</v>
      </c>
      <c r="B1198" s="74">
        <v>6428</v>
      </c>
      <c r="C1198" t="e">
        <f>VLOOKUP(B1198,'Waste Lookups'!$B$1:$C$292,2,FALSE)</f>
        <v>#N/A</v>
      </c>
      <c r="D1198" s="84">
        <v>0</v>
      </c>
      <c r="E1198" s="84">
        <v>2434.6254545454544</v>
      </c>
      <c r="F1198" s="84">
        <v>0</v>
      </c>
      <c r="G1198" s="84">
        <v>385.91999999999996</v>
      </c>
      <c r="H1198" s="84">
        <v>0</v>
      </c>
      <c r="I1198" s="84"/>
      <c r="J1198" s="84">
        <v>0</v>
      </c>
      <c r="K1198" s="84">
        <v>5006.1929017984912</v>
      </c>
      <c r="L1198" s="84">
        <v>0</v>
      </c>
      <c r="M1198" s="84">
        <v>793.54709820150833</v>
      </c>
      <c r="N1198" s="84">
        <v>0</v>
      </c>
    </row>
    <row r="1199" spans="1:14" x14ac:dyDescent="0.25">
      <c r="A1199" s="74" t="s">
        <v>3118</v>
      </c>
      <c r="B1199" s="74">
        <v>6429</v>
      </c>
      <c r="C1199" t="e">
        <f>VLOOKUP(B1199,'Waste Lookups'!$B$1:$C$292,2,FALSE)</f>
        <v>#N/A</v>
      </c>
      <c r="D1199" s="84">
        <v>0</v>
      </c>
      <c r="E1199" s="84">
        <v>239.71636363636364</v>
      </c>
      <c r="F1199" s="84">
        <v>0</v>
      </c>
      <c r="G1199" s="84">
        <v>186.21818181818182</v>
      </c>
      <c r="H1199" s="84">
        <v>0</v>
      </c>
      <c r="I1199" s="84"/>
      <c r="J1199" s="84">
        <v>0</v>
      </c>
      <c r="K1199" s="84">
        <v>729.0467129392481</v>
      </c>
      <c r="L1199" s="84">
        <v>0</v>
      </c>
      <c r="M1199" s="84">
        <v>566.343287060752</v>
      </c>
      <c r="N1199" s="84">
        <v>0</v>
      </c>
    </row>
    <row r="1200" spans="1:14" x14ac:dyDescent="0.25">
      <c r="A1200" s="74" t="s">
        <v>3120</v>
      </c>
      <c r="B1200" s="74">
        <v>6430</v>
      </c>
      <c r="C1200" t="e">
        <f>VLOOKUP(B1200,'Waste Lookups'!$B$1:$C$292,2,FALSE)</f>
        <v>#N/A</v>
      </c>
      <c r="D1200" s="84">
        <v>68.072727272727278</v>
      </c>
      <c r="E1200" s="84">
        <v>539.95636363636368</v>
      </c>
      <c r="F1200" s="84">
        <v>0</v>
      </c>
      <c r="G1200" s="84">
        <v>84.36</v>
      </c>
      <c r="H1200" s="84">
        <v>0</v>
      </c>
      <c r="I1200" s="84"/>
      <c r="J1200" s="84">
        <v>450.36953473349195</v>
      </c>
      <c r="K1200" s="84">
        <v>3572.3542453796344</v>
      </c>
      <c r="L1200" s="84">
        <v>0</v>
      </c>
      <c r="M1200" s="84">
        <v>558.12621988687386</v>
      </c>
      <c r="N1200" s="84">
        <v>0</v>
      </c>
    </row>
    <row r="1201" spans="1:14" x14ac:dyDescent="0.25">
      <c r="A1201" s="74" t="s">
        <v>3122</v>
      </c>
      <c r="B1201" s="74">
        <v>6434</v>
      </c>
      <c r="C1201" t="e">
        <f>VLOOKUP(B1201,'Waste Lookups'!$B$1:$C$292,2,FALSE)</f>
        <v>#N/A</v>
      </c>
      <c r="D1201" s="84">
        <v>0</v>
      </c>
      <c r="E1201" s="84">
        <v>7.8000000000000007</v>
      </c>
      <c r="F1201" s="84">
        <v>0</v>
      </c>
      <c r="G1201" s="84">
        <v>0</v>
      </c>
      <c r="H1201" s="84">
        <v>0</v>
      </c>
      <c r="I1201" s="84"/>
      <c r="J1201" s="84">
        <v>0</v>
      </c>
      <c r="K1201" s="84">
        <v>1430.45</v>
      </c>
      <c r="L1201" s="84">
        <v>0</v>
      </c>
      <c r="M1201" s="84">
        <v>0</v>
      </c>
      <c r="N1201" s="84">
        <v>0</v>
      </c>
    </row>
    <row r="1202" spans="1:14" x14ac:dyDescent="0.25">
      <c r="A1202" s="74" t="s">
        <v>3124</v>
      </c>
      <c r="B1202" s="74">
        <v>6436</v>
      </c>
      <c r="C1202" t="e">
        <f>VLOOKUP(B1202,'Waste Lookups'!$B$1:$C$292,2,FALSE)</f>
        <v>#N/A</v>
      </c>
      <c r="D1202" s="84">
        <v>0</v>
      </c>
      <c r="E1202" s="84">
        <v>0</v>
      </c>
      <c r="F1202" s="84">
        <v>0</v>
      </c>
      <c r="G1202" s="84">
        <v>0</v>
      </c>
      <c r="H1202" s="84">
        <v>0</v>
      </c>
      <c r="I1202" s="84"/>
      <c r="J1202" s="84">
        <v>0</v>
      </c>
      <c r="K1202" s="84">
        <v>0</v>
      </c>
      <c r="L1202" s="84">
        <v>0</v>
      </c>
      <c r="M1202" s="84">
        <v>0</v>
      </c>
      <c r="N1202" s="84">
        <v>0</v>
      </c>
    </row>
    <row r="1203" spans="1:14" x14ac:dyDescent="0.25">
      <c r="A1203" s="74" t="s">
        <v>3126</v>
      </c>
      <c r="B1203" s="74">
        <v>6439</v>
      </c>
      <c r="C1203" t="e">
        <f>VLOOKUP(B1203,'Waste Lookups'!$B$1:$C$292,2,FALSE)</f>
        <v>#N/A</v>
      </c>
      <c r="D1203" s="84">
        <v>0</v>
      </c>
      <c r="E1203" s="84">
        <v>61.963636363636354</v>
      </c>
      <c r="F1203" s="84">
        <v>0</v>
      </c>
      <c r="G1203" s="84">
        <v>47.072727272727271</v>
      </c>
      <c r="H1203" s="84">
        <v>0</v>
      </c>
      <c r="I1203" s="84"/>
      <c r="J1203" s="84">
        <v>0</v>
      </c>
      <c r="K1203" s="84">
        <v>485.33738869434711</v>
      </c>
      <c r="L1203" s="84">
        <v>0</v>
      </c>
      <c r="M1203" s="84">
        <v>368.70261130565285</v>
      </c>
      <c r="N1203" s="84">
        <v>0</v>
      </c>
    </row>
    <row r="1204" spans="1:14" x14ac:dyDescent="0.25">
      <c r="A1204" s="74" t="s">
        <v>713</v>
      </c>
      <c r="B1204" s="74">
        <v>6440</v>
      </c>
      <c r="C1204" t="str">
        <f>VLOOKUP(B1204,'Waste Lookups'!$B$1:$C$292,2,FALSE)</f>
        <v>Cross OCliff Court</v>
      </c>
      <c r="D1204" s="84">
        <v>0</v>
      </c>
      <c r="E1204" s="84">
        <v>19.025454545454547</v>
      </c>
      <c r="F1204" s="84">
        <v>0</v>
      </c>
      <c r="G1204" s="84">
        <v>0</v>
      </c>
      <c r="H1204" s="84">
        <v>0</v>
      </c>
      <c r="I1204" s="84"/>
      <c r="J1204" s="84">
        <v>0</v>
      </c>
      <c r="K1204" s="84">
        <v>3762.86</v>
      </c>
      <c r="L1204" s="84">
        <v>0</v>
      </c>
      <c r="M1204" s="84">
        <v>0</v>
      </c>
      <c r="N1204" s="84">
        <v>0</v>
      </c>
    </row>
    <row r="1205" spans="1:14" x14ac:dyDescent="0.25">
      <c r="A1205" s="74" t="s">
        <v>3129</v>
      </c>
      <c r="B1205" s="74">
        <v>6441</v>
      </c>
      <c r="C1205" t="e">
        <f>VLOOKUP(B1205,'Waste Lookups'!$B$1:$C$292,2,FALSE)</f>
        <v>#N/A</v>
      </c>
      <c r="D1205" s="84">
        <v>0</v>
      </c>
      <c r="E1205" s="84">
        <v>0</v>
      </c>
      <c r="F1205" s="84">
        <v>0</v>
      </c>
      <c r="G1205" s="84">
        <v>0</v>
      </c>
      <c r="H1205" s="84">
        <v>0</v>
      </c>
      <c r="I1205" s="84"/>
      <c r="J1205" s="84">
        <v>0</v>
      </c>
      <c r="K1205" s="84">
        <v>0</v>
      </c>
      <c r="L1205" s="84">
        <v>0</v>
      </c>
      <c r="M1205" s="84">
        <v>0</v>
      </c>
      <c r="N1205" s="84">
        <v>0</v>
      </c>
    </row>
    <row r="1206" spans="1:14" x14ac:dyDescent="0.25">
      <c r="A1206" s="74" t="s">
        <v>714</v>
      </c>
      <c r="B1206" s="74">
        <v>6443</v>
      </c>
      <c r="C1206" t="str">
        <f>VLOOKUP(B1206,'Waste Lookups'!$B$1:$C$292,2,FALSE)</f>
        <v>Fen House</v>
      </c>
      <c r="D1206" s="84">
        <v>0</v>
      </c>
      <c r="E1206" s="84">
        <v>7.8000000000000007</v>
      </c>
      <c r="F1206" s="84">
        <v>0</v>
      </c>
      <c r="G1206" s="84">
        <v>0</v>
      </c>
      <c r="H1206" s="84">
        <v>0</v>
      </c>
      <c r="I1206" s="84"/>
      <c r="J1206" s="84">
        <v>0</v>
      </c>
      <c r="K1206" s="84">
        <v>5425.73</v>
      </c>
      <c r="L1206" s="84">
        <v>0</v>
      </c>
      <c r="M1206" s="84">
        <v>0</v>
      </c>
      <c r="N1206" s="84">
        <v>0</v>
      </c>
    </row>
    <row r="1207" spans="1:14" x14ac:dyDescent="0.25">
      <c r="A1207" s="74" t="s">
        <v>715</v>
      </c>
      <c r="B1207" s="74">
        <v>6444</v>
      </c>
      <c r="C1207" t="str">
        <f>VLOOKUP(B1207,'Waste Lookups'!$B$1:$C$292,2,FALSE)</f>
        <v>Fort Barnes Warehouse</v>
      </c>
      <c r="D1207" s="84">
        <v>0</v>
      </c>
      <c r="E1207" s="84">
        <v>1.56</v>
      </c>
      <c r="F1207" s="84">
        <v>0</v>
      </c>
      <c r="G1207" s="84">
        <v>0</v>
      </c>
      <c r="H1207" s="84">
        <v>0</v>
      </c>
      <c r="I1207" s="84"/>
      <c r="J1207" s="84">
        <v>0</v>
      </c>
      <c r="K1207" s="84">
        <v>3504.91</v>
      </c>
      <c r="L1207" s="84">
        <v>0</v>
      </c>
      <c r="M1207" s="84">
        <v>0</v>
      </c>
      <c r="N1207" s="84">
        <v>0</v>
      </c>
    </row>
    <row r="1208" spans="1:14" x14ac:dyDescent="0.25">
      <c r="A1208" s="74" t="s">
        <v>3133</v>
      </c>
      <c r="B1208" s="74">
        <v>6445</v>
      </c>
      <c r="C1208" t="e">
        <f>VLOOKUP(B1208,'Waste Lookups'!$B$1:$C$292,2,FALSE)</f>
        <v>#N/A</v>
      </c>
      <c r="D1208" s="84">
        <v>0</v>
      </c>
      <c r="E1208" s="84">
        <v>7.8000000000000007</v>
      </c>
      <c r="F1208" s="84">
        <v>0</v>
      </c>
      <c r="G1208" s="84">
        <v>0</v>
      </c>
      <c r="H1208" s="84">
        <v>0</v>
      </c>
      <c r="I1208" s="84"/>
      <c r="J1208" s="84">
        <v>0</v>
      </c>
      <c r="K1208" s="84">
        <v>2157.16</v>
      </c>
      <c r="L1208" s="84">
        <v>0</v>
      </c>
      <c r="M1208" s="84">
        <v>0</v>
      </c>
      <c r="N1208" s="84">
        <v>0</v>
      </c>
    </row>
    <row r="1209" spans="1:14" x14ac:dyDescent="0.25">
      <c r="A1209" s="74" t="s">
        <v>3135</v>
      </c>
      <c r="B1209" s="74">
        <v>6449</v>
      </c>
      <c r="C1209" t="e">
        <f>VLOOKUP(B1209,'Waste Lookups'!$B$1:$C$292,2,FALSE)</f>
        <v>#N/A</v>
      </c>
      <c r="D1209" s="84">
        <v>0</v>
      </c>
      <c r="E1209" s="84">
        <v>4.68</v>
      </c>
      <c r="F1209" s="84">
        <v>0</v>
      </c>
      <c r="G1209" s="84">
        <v>0</v>
      </c>
      <c r="H1209" s="84">
        <v>0</v>
      </c>
      <c r="I1209" s="84"/>
      <c r="J1209" s="84">
        <v>0</v>
      </c>
      <c r="K1209" s="84">
        <v>1686.72</v>
      </c>
      <c r="L1209" s="84">
        <v>0</v>
      </c>
      <c r="M1209" s="84">
        <v>0</v>
      </c>
      <c r="N1209" s="84">
        <v>0</v>
      </c>
    </row>
    <row r="1210" spans="1:14" x14ac:dyDescent="0.25">
      <c r="A1210" s="74" t="s">
        <v>3137</v>
      </c>
      <c r="B1210" s="74">
        <v>6450</v>
      </c>
      <c r="C1210" t="e">
        <f>VLOOKUP(B1210,'Waste Lookups'!$B$1:$C$292,2,FALSE)</f>
        <v>#N/A</v>
      </c>
      <c r="D1210" s="84">
        <v>0</v>
      </c>
      <c r="E1210" s="84">
        <v>0</v>
      </c>
      <c r="F1210" s="84">
        <v>0</v>
      </c>
      <c r="G1210" s="84">
        <v>0</v>
      </c>
      <c r="H1210" s="84">
        <v>0</v>
      </c>
      <c r="I1210" s="84"/>
      <c r="J1210" s="84">
        <v>0</v>
      </c>
      <c r="K1210" s="84">
        <v>0</v>
      </c>
      <c r="L1210" s="84">
        <v>0</v>
      </c>
      <c r="M1210" s="84">
        <v>0</v>
      </c>
      <c r="N1210" s="84">
        <v>0</v>
      </c>
    </row>
    <row r="1211" spans="1:14" x14ac:dyDescent="0.25">
      <c r="A1211" s="74" t="s">
        <v>3139</v>
      </c>
      <c r="B1211" s="74">
        <v>6452</v>
      </c>
      <c r="C1211" t="e">
        <f>VLOOKUP(B1211,'Waste Lookups'!$B$1:$C$292,2,FALSE)</f>
        <v>#N/A</v>
      </c>
      <c r="D1211" s="84">
        <v>0</v>
      </c>
      <c r="E1211" s="84">
        <v>17943.501818181816</v>
      </c>
      <c r="F1211" s="84">
        <v>0</v>
      </c>
      <c r="G1211" s="84">
        <v>0</v>
      </c>
      <c r="H1211" s="84">
        <v>0</v>
      </c>
      <c r="I1211" s="84"/>
      <c r="J1211" s="84">
        <v>0</v>
      </c>
      <c r="K1211" s="84">
        <v>14724.02</v>
      </c>
      <c r="L1211" s="84">
        <v>0</v>
      </c>
      <c r="M1211" s="84">
        <v>0</v>
      </c>
      <c r="N1211" s="84">
        <v>0</v>
      </c>
    </row>
    <row r="1212" spans="1:14" x14ac:dyDescent="0.25">
      <c r="A1212" s="74" t="s">
        <v>3141</v>
      </c>
      <c r="B1212" s="74">
        <v>6457</v>
      </c>
      <c r="C1212" t="e">
        <f>VLOOKUP(B1212,'Waste Lookups'!$B$1:$C$292,2,FALSE)</f>
        <v>#N/A</v>
      </c>
      <c r="D1212" s="84">
        <v>0</v>
      </c>
      <c r="E1212" s="84">
        <v>52.167272727272731</v>
      </c>
      <c r="F1212" s="84">
        <v>0</v>
      </c>
      <c r="G1212" s="84">
        <v>94.330909090909088</v>
      </c>
      <c r="H1212" s="84">
        <v>0</v>
      </c>
      <c r="I1212" s="84"/>
      <c r="J1212" s="84">
        <v>0</v>
      </c>
      <c r="K1212" s="84">
        <v>455.18913992106638</v>
      </c>
      <c r="L1212" s="84">
        <v>0</v>
      </c>
      <c r="M1212" s="84">
        <v>823.09086007893359</v>
      </c>
      <c r="N1212" s="84">
        <v>0</v>
      </c>
    </row>
    <row r="1213" spans="1:14" x14ac:dyDescent="0.25">
      <c r="A1213" s="74" t="s">
        <v>794</v>
      </c>
      <c r="B1213" s="74">
        <v>6459</v>
      </c>
      <c r="C1213" t="str">
        <f>VLOOKUP(B1213,'Waste Lookups'!$B$1:$C$292,2,FALSE)</f>
        <v>North Hykeham Health Centre</v>
      </c>
      <c r="D1213" s="84">
        <v>0</v>
      </c>
      <c r="E1213" s="84">
        <v>7.8000000000000007</v>
      </c>
      <c r="F1213" s="84">
        <v>0</v>
      </c>
      <c r="G1213" s="84">
        <v>0</v>
      </c>
      <c r="H1213" s="84">
        <v>0</v>
      </c>
      <c r="I1213" s="84"/>
      <c r="J1213" s="84">
        <v>0</v>
      </c>
      <c r="K1213" s="84">
        <v>2143.38</v>
      </c>
      <c r="L1213" s="84">
        <v>0</v>
      </c>
      <c r="M1213" s="84">
        <v>0</v>
      </c>
      <c r="N1213" s="84">
        <v>0</v>
      </c>
    </row>
    <row r="1214" spans="1:14" x14ac:dyDescent="0.25">
      <c r="A1214" s="74" t="s">
        <v>3144</v>
      </c>
      <c r="B1214" s="74">
        <v>6468</v>
      </c>
      <c r="C1214" t="e">
        <f>VLOOKUP(B1214,'Waste Lookups'!$B$1:$C$292,2,FALSE)</f>
        <v>#N/A</v>
      </c>
      <c r="D1214" s="84">
        <v>0</v>
      </c>
      <c r="E1214" s="84">
        <v>1.56</v>
      </c>
      <c r="F1214" s="84">
        <v>0</v>
      </c>
      <c r="G1214" s="84">
        <v>0</v>
      </c>
      <c r="H1214" s="84">
        <v>0</v>
      </c>
      <c r="I1214" s="84"/>
      <c r="J1214" s="84">
        <v>0</v>
      </c>
      <c r="K1214" s="84">
        <v>22.55</v>
      </c>
      <c r="L1214" s="84">
        <v>0</v>
      </c>
      <c r="M1214" s="84">
        <v>0</v>
      </c>
      <c r="N1214" s="84">
        <v>0</v>
      </c>
    </row>
    <row r="1215" spans="1:14" x14ac:dyDescent="0.25">
      <c r="A1215" s="74" t="s">
        <v>3146</v>
      </c>
      <c r="B1215" s="74">
        <v>6470</v>
      </c>
      <c r="C1215" t="str">
        <f>VLOOKUP(B1215,'Waste Lookups'!$B$1:$C$295,2,FALSE)</f>
        <v>Skegness Health Clinic</v>
      </c>
      <c r="D1215" s="84">
        <v>0</v>
      </c>
      <c r="E1215" s="84">
        <v>4.68</v>
      </c>
      <c r="F1215" s="84">
        <v>0</v>
      </c>
      <c r="G1215" s="84">
        <v>0</v>
      </c>
      <c r="H1215" s="84">
        <v>0</v>
      </c>
      <c r="I1215" s="84"/>
      <c r="J1215" s="84">
        <v>0</v>
      </c>
      <c r="K1215" s="84">
        <v>1900.65</v>
      </c>
      <c r="L1215" s="84">
        <v>0</v>
      </c>
      <c r="M1215" s="84">
        <v>0</v>
      </c>
      <c r="N1215" s="84">
        <v>0</v>
      </c>
    </row>
    <row r="1216" spans="1:14" x14ac:dyDescent="0.25">
      <c r="A1216" s="74" t="s">
        <v>3148</v>
      </c>
      <c r="B1216" s="74">
        <v>6471</v>
      </c>
      <c r="C1216" t="e">
        <f>VLOOKUP(B1216,'Waste Lookups'!$B$1:$C$292,2,FALSE)</f>
        <v>#N/A</v>
      </c>
      <c r="D1216" s="84">
        <v>0</v>
      </c>
      <c r="E1216" s="84">
        <v>42.12</v>
      </c>
      <c r="F1216" s="84">
        <v>0</v>
      </c>
      <c r="G1216" s="84">
        <v>0</v>
      </c>
      <c r="H1216" s="84">
        <v>0</v>
      </c>
      <c r="I1216" s="84"/>
      <c r="J1216" s="84">
        <v>0</v>
      </c>
      <c r="K1216" s="84">
        <v>14232.61</v>
      </c>
      <c r="L1216" s="84">
        <v>0</v>
      </c>
      <c r="M1216" s="84">
        <v>0</v>
      </c>
      <c r="N1216" s="84">
        <v>0</v>
      </c>
    </row>
    <row r="1217" spans="1:14" x14ac:dyDescent="0.25">
      <c r="A1217" s="74" t="s">
        <v>3150</v>
      </c>
      <c r="B1217" s="74">
        <v>6474</v>
      </c>
      <c r="C1217" t="e">
        <f>VLOOKUP(B1217,'Waste Lookups'!$B$1:$C$292,2,FALSE)</f>
        <v>#N/A</v>
      </c>
      <c r="D1217" s="84">
        <v>0</v>
      </c>
      <c r="E1217" s="84">
        <v>0</v>
      </c>
      <c r="F1217" s="84">
        <v>0</v>
      </c>
      <c r="G1217" s="84">
        <v>0</v>
      </c>
      <c r="H1217" s="84">
        <v>0</v>
      </c>
      <c r="I1217" s="84"/>
      <c r="J1217" s="84">
        <v>0</v>
      </c>
      <c r="K1217" s="84">
        <v>0</v>
      </c>
      <c r="L1217" s="84">
        <v>0</v>
      </c>
      <c r="M1217" s="84">
        <v>0</v>
      </c>
      <c r="N1217" s="84">
        <v>0</v>
      </c>
    </row>
    <row r="1218" spans="1:14" x14ac:dyDescent="0.25">
      <c r="A1218" s="74" t="s">
        <v>793</v>
      </c>
      <c r="B1218" s="74">
        <v>6479</v>
      </c>
      <c r="C1218" t="str">
        <f>VLOOKUP(B1218,'Waste Lookups'!$B$1:$C$292,2,FALSE)</f>
        <v>Johnson Community Hospital</v>
      </c>
      <c r="D1218" s="84">
        <v>0</v>
      </c>
      <c r="E1218" s="84">
        <v>0</v>
      </c>
      <c r="F1218" s="84">
        <v>0</v>
      </c>
      <c r="G1218" s="84">
        <v>0</v>
      </c>
      <c r="H1218" s="84">
        <v>0</v>
      </c>
      <c r="I1218" s="84"/>
      <c r="J1218" s="84">
        <v>0</v>
      </c>
      <c r="K1218" s="84">
        <v>0</v>
      </c>
      <c r="L1218" s="84">
        <v>0</v>
      </c>
      <c r="M1218" s="84">
        <v>0</v>
      </c>
      <c r="N1218" s="84">
        <v>0</v>
      </c>
    </row>
    <row r="1219" spans="1:14" x14ac:dyDescent="0.25">
      <c r="A1219" s="74" t="s">
        <v>3153</v>
      </c>
      <c r="B1219" s="74">
        <v>6480</v>
      </c>
      <c r="C1219" t="e">
        <f>VLOOKUP(B1219,'Waste Lookups'!$B$1:$C$292,2,FALSE)</f>
        <v>#N/A</v>
      </c>
      <c r="D1219" s="84">
        <v>0</v>
      </c>
      <c r="E1219" s="84">
        <v>7.8000000000000007</v>
      </c>
      <c r="F1219" s="84">
        <v>0</v>
      </c>
      <c r="G1219" s="84">
        <v>0</v>
      </c>
      <c r="H1219" s="84">
        <v>0</v>
      </c>
      <c r="I1219" s="84"/>
      <c r="J1219" s="84">
        <v>0</v>
      </c>
      <c r="K1219" s="84">
        <v>1905.69</v>
      </c>
      <c r="L1219" s="84">
        <v>0</v>
      </c>
      <c r="M1219" s="84">
        <v>0</v>
      </c>
      <c r="N1219" s="84">
        <v>0</v>
      </c>
    </row>
    <row r="1220" spans="1:14" x14ac:dyDescent="0.25">
      <c r="A1220" s="74" t="s">
        <v>791</v>
      </c>
      <c r="B1220" s="74">
        <v>6481</v>
      </c>
      <c r="C1220" t="str">
        <f>VLOOKUP(B1220,'Waste Lookups'!$B$1:$C$292,2,FALSE)</f>
        <v>County Hospital Louth</v>
      </c>
      <c r="D1220" s="84">
        <v>0</v>
      </c>
      <c r="E1220" s="84">
        <v>34893.992727272729</v>
      </c>
      <c r="F1220" s="84">
        <v>0</v>
      </c>
      <c r="G1220" s="84">
        <v>0</v>
      </c>
      <c r="H1220" s="84">
        <v>0</v>
      </c>
      <c r="I1220" s="84"/>
      <c r="J1220" s="84">
        <v>0</v>
      </c>
      <c r="K1220" s="84">
        <v>49767.28</v>
      </c>
      <c r="L1220" s="84">
        <v>0</v>
      </c>
      <c r="M1220" s="84">
        <v>0</v>
      </c>
      <c r="N1220" s="84">
        <v>0</v>
      </c>
    </row>
    <row r="1221" spans="1:14" x14ac:dyDescent="0.25">
      <c r="A1221" s="74" t="s">
        <v>3156</v>
      </c>
      <c r="B1221" s="74">
        <v>6505</v>
      </c>
      <c r="C1221" t="e">
        <f>VLOOKUP(B1221,'Waste Lookups'!$B$1:$C$292,2,FALSE)</f>
        <v>#N/A</v>
      </c>
      <c r="D1221" s="84">
        <v>0</v>
      </c>
      <c r="E1221" s="84">
        <v>339.93818181818182</v>
      </c>
      <c r="F1221" s="84">
        <v>0</v>
      </c>
      <c r="G1221" s="84">
        <v>0</v>
      </c>
      <c r="H1221" s="84">
        <v>0</v>
      </c>
      <c r="I1221" s="84"/>
      <c r="J1221" s="84">
        <v>0</v>
      </c>
      <c r="K1221" s="84">
        <v>2498.1799999999998</v>
      </c>
      <c r="L1221" s="84">
        <v>0</v>
      </c>
      <c r="M1221" s="84">
        <v>0</v>
      </c>
      <c r="N1221" s="84">
        <v>0</v>
      </c>
    </row>
    <row r="1222" spans="1:14" x14ac:dyDescent="0.25">
      <c r="A1222" s="74" t="s">
        <v>3158</v>
      </c>
      <c r="B1222" s="74">
        <v>6507</v>
      </c>
      <c r="C1222" t="e">
        <f>VLOOKUP(B1222,'Waste Lookups'!$B$1:$C$292,2,FALSE)</f>
        <v>#N/A</v>
      </c>
      <c r="D1222" s="84">
        <v>0</v>
      </c>
      <c r="E1222" s="84">
        <v>0</v>
      </c>
      <c r="F1222" s="84">
        <v>0</v>
      </c>
      <c r="G1222" s="84">
        <v>0</v>
      </c>
      <c r="H1222" s="84">
        <v>0</v>
      </c>
      <c r="I1222" s="84"/>
      <c r="J1222" s="84">
        <v>0</v>
      </c>
      <c r="K1222" s="84">
        <v>0</v>
      </c>
      <c r="L1222" s="84">
        <v>0</v>
      </c>
      <c r="M1222" s="84">
        <v>0</v>
      </c>
      <c r="N1222" s="84">
        <v>0</v>
      </c>
    </row>
    <row r="1223" spans="1:14" x14ac:dyDescent="0.25">
      <c r="A1223" s="74" t="s">
        <v>792</v>
      </c>
      <c r="B1223" s="74">
        <v>6508</v>
      </c>
      <c r="C1223" t="str">
        <f>VLOOKUP(B1223,'Waste Lookups'!$B$1:$C$292,2,FALSE)</f>
        <v>Venture House (Units 2-3)</v>
      </c>
      <c r="D1223" s="84">
        <v>0</v>
      </c>
      <c r="E1223" s="84">
        <v>0</v>
      </c>
      <c r="F1223" s="84">
        <v>0</v>
      </c>
      <c r="G1223" s="84">
        <v>253.07999999999998</v>
      </c>
      <c r="H1223" s="84">
        <v>0</v>
      </c>
      <c r="I1223" s="84"/>
      <c r="J1223" s="84">
        <v>0</v>
      </c>
      <c r="K1223" s="84">
        <v>0</v>
      </c>
      <c r="L1223" s="84">
        <v>0</v>
      </c>
      <c r="M1223" s="84">
        <v>5955.97</v>
      </c>
      <c r="N1223" s="84">
        <v>0</v>
      </c>
    </row>
    <row r="1224" spans="1:14" x14ac:dyDescent="0.25">
      <c r="A1224" s="74" t="s">
        <v>3161</v>
      </c>
      <c r="B1224" s="74">
        <v>6509</v>
      </c>
      <c r="C1224" t="e">
        <f>VLOOKUP(B1224,'Waste Lookups'!$B$1:$C$292,2,FALSE)</f>
        <v>#N/A</v>
      </c>
      <c r="D1224" s="84">
        <v>0</v>
      </c>
      <c r="E1224" s="84">
        <v>186.85090909090908</v>
      </c>
      <c r="F1224" s="84">
        <v>0</v>
      </c>
      <c r="G1224" s="84">
        <v>0</v>
      </c>
      <c r="H1224" s="84">
        <v>0</v>
      </c>
      <c r="I1224" s="84"/>
      <c r="J1224" s="84">
        <v>0</v>
      </c>
      <c r="K1224" s="84">
        <v>2024.32</v>
      </c>
      <c r="L1224" s="84">
        <v>0</v>
      </c>
      <c r="M1224" s="84">
        <v>0</v>
      </c>
      <c r="N1224" s="84">
        <v>0</v>
      </c>
    </row>
    <row r="1225" spans="1:14" x14ac:dyDescent="0.25">
      <c r="A1225" s="74" t="s">
        <v>3163</v>
      </c>
      <c r="B1225" s="74">
        <v>6510</v>
      </c>
      <c r="C1225" t="e">
        <f>VLOOKUP(B1225,'Waste Lookups'!$B$1:$C$292,2,FALSE)</f>
        <v>#N/A</v>
      </c>
      <c r="D1225" s="84">
        <v>0</v>
      </c>
      <c r="E1225" s="84">
        <v>337.97454545454548</v>
      </c>
      <c r="F1225" s="84">
        <v>0</v>
      </c>
      <c r="G1225" s="84">
        <v>0</v>
      </c>
      <c r="H1225" s="84">
        <v>0</v>
      </c>
      <c r="I1225" s="84"/>
      <c r="J1225" s="84">
        <v>0</v>
      </c>
      <c r="K1225" s="84">
        <v>778.64</v>
      </c>
      <c r="L1225" s="84">
        <v>0</v>
      </c>
      <c r="M1225" s="84">
        <v>0</v>
      </c>
      <c r="N1225" s="84">
        <v>0</v>
      </c>
    </row>
    <row r="1226" spans="1:14" x14ac:dyDescent="0.25">
      <c r="A1226" s="74" t="s">
        <v>3165</v>
      </c>
      <c r="B1226" s="74">
        <v>6511</v>
      </c>
      <c r="C1226" t="e">
        <f>VLOOKUP(B1226,'Waste Lookups'!$B$1:$C$292,2,FALSE)</f>
        <v>#N/A</v>
      </c>
      <c r="D1226" s="84">
        <v>0</v>
      </c>
      <c r="E1226" s="84">
        <v>268.36363636363637</v>
      </c>
      <c r="F1226" s="84">
        <v>0</v>
      </c>
      <c r="G1226" s="84">
        <v>0</v>
      </c>
      <c r="H1226" s="84">
        <v>0</v>
      </c>
      <c r="I1226" s="84"/>
      <c r="J1226" s="84">
        <v>0</v>
      </c>
      <c r="K1226" s="84">
        <v>1001.43</v>
      </c>
      <c r="L1226" s="84">
        <v>0</v>
      </c>
      <c r="M1226" s="84">
        <v>0</v>
      </c>
      <c r="N1226" s="84">
        <v>0</v>
      </c>
    </row>
    <row r="1227" spans="1:14" x14ac:dyDescent="0.25">
      <c r="A1227" s="74" t="s">
        <v>3167</v>
      </c>
      <c r="B1227" s="74">
        <v>6513</v>
      </c>
      <c r="C1227" t="e">
        <f>VLOOKUP(B1227,'Waste Lookups'!$B$1:$C$292,2,FALSE)</f>
        <v>#N/A</v>
      </c>
      <c r="D1227" s="84">
        <v>0</v>
      </c>
      <c r="E1227" s="84">
        <v>0</v>
      </c>
      <c r="F1227" s="84">
        <v>0</v>
      </c>
      <c r="G1227" s="84">
        <v>84.981818181818184</v>
      </c>
      <c r="H1227" s="84">
        <v>0</v>
      </c>
      <c r="I1227" s="84"/>
      <c r="J1227" s="84">
        <v>0</v>
      </c>
      <c r="K1227" s="84">
        <v>0</v>
      </c>
      <c r="L1227" s="84">
        <v>0</v>
      </c>
      <c r="M1227" s="84">
        <v>320.11</v>
      </c>
      <c r="N1227" s="84">
        <v>0</v>
      </c>
    </row>
    <row r="1228" spans="1:14" x14ac:dyDescent="0.25">
      <c r="A1228" s="74" t="s">
        <v>3169</v>
      </c>
      <c r="B1228" s="74">
        <v>6514</v>
      </c>
      <c r="C1228" t="e">
        <f>VLOOKUP(B1228,'Waste Lookups'!$B$1:$C$292,2,FALSE)</f>
        <v>#N/A</v>
      </c>
      <c r="D1228" s="84">
        <v>0</v>
      </c>
      <c r="E1228" s="84">
        <v>113.32363636363635</v>
      </c>
      <c r="F1228" s="84">
        <v>0</v>
      </c>
      <c r="G1228" s="84">
        <v>0</v>
      </c>
      <c r="H1228" s="84">
        <v>0</v>
      </c>
      <c r="I1228" s="84"/>
      <c r="J1228" s="84">
        <v>0</v>
      </c>
      <c r="K1228" s="84">
        <v>30.38</v>
      </c>
      <c r="L1228" s="84">
        <v>0</v>
      </c>
      <c r="M1228" s="84">
        <v>0</v>
      </c>
      <c r="N1228" s="84">
        <v>0</v>
      </c>
    </row>
    <row r="1229" spans="1:14" x14ac:dyDescent="0.25">
      <c r="A1229" s="74" t="s">
        <v>3171</v>
      </c>
      <c r="B1229" s="74">
        <v>6515</v>
      </c>
      <c r="C1229" t="e">
        <f>VLOOKUP(B1229,'Waste Lookups'!$B$1:$C$292,2,FALSE)</f>
        <v>#N/A</v>
      </c>
      <c r="D1229" s="84">
        <v>0</v>
      </c>
      <c r="E1229" s="84">
        <v>56.661818181818177</v>
      </c>
      <c r="F1229" s="84">
        <v>0</v>
      </c>
      <c r="G1229" s="84">
        <v>0</v>
      </c>
      <c r="H1229" s="84">
        <v>0</v>
      </c>
      <c r="I1229" s="84"/>
      <c r="J1229" s="84">
        <v>0</v>
      </c>
      <c r="K1229" s="84">
        <v>570.30999999999995</v>
      </c>
      <c r="L1229" s="84">
        <v>0</v>
      </c>
      <c r="M1229" s="84">
        <v>0</v>
      </c>
      <c r="N1229" s="84">
        <v>0</v>
      </c>
    </row>
    <row r="1230" spans="1:14" x14ac:dyDescent="0.25">
      <c r="A1230" s="74" t="s">
        <v>3173</v>
      </c>
      <c r="B1230" s="74">
        <v>6516</v>
      </c>
      <c r="C1230" t="e">
        <f>VLOOKUP(B1230,'Waste Lookups'!$B$1:$C$292,2,FALSE)</f>
        <v>#N/A</v>
      </c>
      <c r="D1230" s="84">
        <v>0</v>
      </c>
      <c r="E1230" s="84">
        <v>200.14909090909092</v>
      </c>
      <c r="F1230" s="84">
        <v>0</v>
      </c>
      <c r="G1230" s="84">
        <v>0</v>
      </c>
      <c r="H1230" s="84">
        <v>0</v>
      </c>
      <c r="I1230" s="84"/>
      <c r="J1230" s="84">
        <v>0</v>
      </c>
      <c r="K1230" s="84">
        <v>8968.32</v>
      </c>
      <c r="L1230" s="84">
        <v>0</v>
      </c>
      <c r="M1230" s="84">
        <v>0</v>
      </c>
      <c r="N1230" s="84">
        <v>0</v>
      </c>
    </row>
    <row r="1231" spans="1:14" x14ac:dyDescent="0.25">
      <c r="A1231" s="74" t="s">
        <v>3175</v>
      </c>
      <c r="B1231" s="74">
        <v>6517</v>
      </c>
      <c r="C1231" t="e">
        <f>VLOOKUP(B1231,'Waste Lookups'!$B$1:$C$292,2,FALSE)</f>
        <v>#N/A</v>
      </c>
      <c r="D1231" s="84">
        <v>0</v>
      </c>
      <c r="E1231" s="84">
        <v>297.45818181818186</v>
      </c>
      <c r="F1231" s="84">
        <v>0</v>
      </c>
      <c r="G1231" s="84">
        <v>0</v>
      </c>
      <c r="H1231" s="84">
        <v>0</v>
      </c>
      <c r="I1231" s="84"/>
      <c r="J1231" s="84">
        <v>0</v>
      </c>
      <c r="K1231" s="84">
        <v>732.85</v>
      </c>
      <c r="L1231" s="84">
        <v>0</v>
      </c>
      <c r="M1231" s="84">
        <v>0</v>
      </c>
      <c r="N1231" s="84">
        <v>0</v>
      </c>
    </row>
    <row r="1232" spans="1:14" x14ac:dyDescent="0.25">
      <c r="A1232" s="74" t="s">
        <v>3177</v>
      </c>
      <c r="B1232" s="74">
        <v>6519</v>
      </c>
      <c r="C1232" t="e">
        <f>VLOOKUP(B1232,'Waste Lookups'!$B$1:$C$292,2,FALSE)</f>
        <v>#N/A</v>
      </c>
      <c r="D1232" s="84">
        <v>0</v>
      </c>
      <c r="E1232" s="84">
        <v>103.98545454545453</v>
      </c>
      <c r="F1232" s="84">
        <v>0</v>
      </c>
      <c r="G1232" s="84">
        <v>93.730909090909094</v>
      </c>
      <c r="H1232" s="84">
        <v>0</v>
      </c>
      <c r="I1232" s="84"/>
      <c r="J1232" s="84">
        <v>0</v>
      </c>
      <c r="K1232" s="84">
        <v>970.06139483557706</v>
      </c>
      <c r="L1232" s="84">
        <v>0</v>
      </c>
      <c r="M1232" s="84">
        <v>874.39860516442297</v>
      </c>
      <c r="N1232" s="84">
        <v>0</v>
      </c>
    </row>
    <row r="1233" spans="1:14" x14ac:dyDescent="0.25">
      <c r="A1233" s="74" t="s">
        <v>3179</v>
      </c>
      <c r="B1233" s="74">
        <v>6521</v>
      </c>
      <c r="C1233" t="e">
        <f>VLOOKUP(B1233,'Waste Lookups'!$B$1:$C$292,2,FALSE)</f>
        <v>#N/A</v>
      </c>
      <c r="D1233" s="84">
        <v>0</v>
      </c>
      <c r="E1233" s="84">
        <v>280.84363636363634</v>
      </c>
      <c r="F1233" s="84">
        <v>0</v>
      </c>
      <c r="G1233" s="84">
        <v>211.34181818181816</v>
      </c>
      <c r="H1233" s="84">
        <v>0</v>
      </c>
      <c r="I1233" s="84"/>
      <c r="J1233" s="84">
        <v>0</v>
      </c>
      <c r="K1233" s="84">
        <v>1387.88330784405</v>
      </c>
      <c r="L1233" s="84">
        <v>0</v>
      </c>
      <c r="M1233" s="84">
        <v>1044.4166921559502</v>
      </c>
      <c r="N1233" s="84">
        <v>0</v>
      </c>
    </row>
    <row r="1234" spans="1:14" x14ac:dyDescent="0.25">
      <c r="A1234" s="74" t="s">
        <v>3181</v>
      </c>
      <c r="B1234" s="74">
        <v>6523</v>
      </c>
      <c r="C1234" t="e">
        <f>VLOOKUP(B1234,'Waste Lookups'!$B$1:$C$292,2,FALSE)</f>
        <v>#N/A</v>
      </c>
      <c r="D1234" s="84">
        <v>0</v>
      </c>
      <c r="E1234" s="84">
        <v>947.77090909090907</v>
      </c>
      <c r="F1234" s="84">
        <v>0</v>
      </c>
      <c r="G1234" s="84">
        <v>253.0690909090909</v>
      </c>
      <c r="H1234" s="84">
        <v>0</v>
      </c>
      <c r="I1234" s="84"/>
      <c r="J1234" s="84">
        <v>0</v>
      </c>
      <c r="K1234" s="84">
        <v>6693.6458574452436</v>
      </c>
      <c r="L1234" s="84">
        <v>0</v>
      </c>
      <c r="M1234" s="84">
        <v>1787.3041425547574</v>
      </c>
      <c r="N1234" s="84">
        <v>0</v>
      </c>
    </row>
    <row r="1235" spans="1:14" x14ac:dyDescent="0.25">
      <c r="A1235" s="74" t="s">
        <v>3183</v>
      </c>
      <c r="B1235" s="74">
        <v>6524</v>
      </c>
      <c r="C1235" t="e">
        <f>VLOOKUP(B1235,'Waste Lookups'!$B$1:$C$292,2,FALSE)</f>
        <v>#N/A</v>
      </c>
      <c r="D1235" s="84">
        <v>0</v>
      </c>
      <c r="E1235" s="84">
        <v>374.57454545454544</v>
      </c>
      <c r="F1235" s="84">
        <v>0</v>
      </c>
      <c r="G1235" s="84">
        <v>229.47272727272724</v>
      </c>
      <c r="H1235" s="84">
        <v>0</v>
      </c>
      <c r="I1235" s="84"/>
      <c r="J1235" s="84">
        <v>0</v>
      </c>
      <c r="K1235" s="84">
        <v>1396.9606963934191</v>
      </c>
      <c r="L1235" s="84">
        <v>0</v>
      </c>
      <c r="M1235" s="84">
        <v>855.80930360658101</v>
      </c>
      <c r="N1235" s="84">
        <v>0</v>
      </c>
    </row>
    <row r="1236" spans="1:14" x14ac:dyDescent="0.25">
      <c r="A1236" s="74" t="s">
        <v>3185</v>
      </c>
      <c r="B1236" s="74">
        <v>6526</v>
      </c>
      <c r="C1236" t="e">
        <f>VLOOKUP(B1236,'Waste Lookups'!$B$1:$C$292,2,FALSE)</f>
        <v>#N/A</v>
      </c>
      <c r="D1236" s="84">
        <v>0</v>
      </c>
      <c r="E1236" s="84">
        <v>141.64363636363638</v>
      </c>
      <c r="F1236" s="84">
        <v>0</v>
      </c>
      <c r="G1236" s="84">
        <v>115.77818181818182</v>
      </c>
      <c r="H1236" s="84">
        <v>0</v>
      </c>
      <c r="I1236" s="84"/>
      <c r="J1236" s="84">
        <v>0</v>
      </c>
      <c r="K1236" s="84">
        <v>1787.6674051786242</v>
      </c>
      <c r="L1236" s="84">
        <v>0</v>
      </c>
      <c r="M1236" s="84">
        <v>1461.2225948213754</v>
      </c>
      <c r="N1236" s="84">
        <v>0</v>
      </c>
    </row>
    <row r="1237" spans="1:14" x14ac:dyDescent="0.25">
      <c r="A1237" s="74" t="s">
        <v>711</v>
      </c>
      <c r="B1237" s="74">
        <v>6527</v>
      </c>
      <c r="C1237" t="str">
        <f>VLOOKUP(B1237,'Waste Lookups'!$B$1:$C$292,2,FALSE)</f>
        <v>St Johns House (3rd Floor)</v>
      </c>
      <c r="D1237" s="84">
        <v>0</v>
      </c>
      <c r="E1237" s="84">
        <v>165.79636363636362</v>
      </c>
      <c r="F1237" s="84">
        <v>0</v>
      </c>
      <c r="G1237" s="84">
        <v>370.60363636363638</v>
      </c>
      <c r="H1237" s="84">
        <v>0</v>
      </c>
      <c r="I1237" s="84"/>
      <c r="J1237" s="84">
        <v>0</v>
      </c>
      <c r="K1237" s="84">
        <v>350.04236363636363</v>
      </c>
      <c r="L1237" s="84">
        <v>0</v>
      </c>
      <c r="M1237" s="84">
        <v>782.44763636363655</v>
      </c>
      <c r="N1237" s="84">
        <v>0</v>
      </c>
    </row>
    <row r="1238" spans="1:14" x14ac:dyDescent="0.25">
      <c r="A1238" s="74" t="s">
        <v>3188</v>
      </c>
      <c r="B1238" s="74">
        <v>6529</v>
      </c>
      <c r="C1238" t="e">
        <f>VLOOKUP(B1238,'Waste Lookups'!$B$1:$C$292,2,FALSE)</f>
        <v>#N/A</v>
      </c>
      <c r="D1238" s="84">
        <v>0</v>
      </c>
      <c r="E1238" s="84">
        <v>337.9636363636364</v>
      </c>
      <c r="F1238" s="84">
        <v>0</v>
      </c>
      <c r="G1238" s="84">
        <v>515.54181818181814</v>
      </c>
      <c r="H1238" s="84">
        <v>0</v>
      </c>
      <c r="I1238" s="84"/>
      <c r="J1238" s="84">
        <v>0</v>
      </c>
      <c r="K1238" s="84">
        <v>1163.7159973414455</v>
      </c>
      <c r="L1238" s="84">
        <v>0</v>
      </c>
      <c r="M1238" s="84">
        <v>1775.1740026585546</v>
      </c>
      <c r="N1238" s="84">
        <v>0</v>
      </c>
    </row>
    <row r="1239" spans="1:14" x14ac:dyDescent="0.25">
      <c r="A1239" s="74" t="s">
        <v>3190</v>
      </c>
      <c r="B1239" s="74">
        <v>6531</v>
      </c>
      <c r="C1239" t="e">
        <f>VLOOKUP(B1239,'Waste Lookups'!$B$1:$C$292,2,FALSE)</f>
        <v>#N/A</v>
      </c>
      <c r="D1239" s="84">
        <v>0</v>
      </c>
      <c r="E1239" s="84">
        <v>402.96</v>
      </c>
      <c r="F1239" s="84">
        <v>0</v>
      </c>
      <c r="G1239" s="84">
        <v>106.12363636363636</v>
      </c>
      <c r="H1239" s="84">
        <v>0</v>
      </c>
      <c r="I1239" s="84"/>
      <c r="J1239" s="84">
        <v>0</v>
      </c>
      <c r="K1239" s="84">
        <v>1503.4825080358291</v>
      </c>
      <c r="L1239" s="84">
        <v>0</v>
      </c>
      <c r="M1239" s="84">
        <v>395.95749196417091</v>
      </c>
      <c r="N1239" s="84">
        <v>0</v>
      </c>
    </row>
    <row r="1240" spans="1:14" x14ac:dyDescent="0.25">
      <c r="A1240" s="74" t="s">
        <v>3192</v>
      </c>
      <c r="B1240" s="74">
        <v>6550</v>
      </c>
      <c r="C1240" t="e">
        <f>VLOOKUP(B1240,'Waste Lookups'!$B$1:$C$292,2,FALSE)</f>
        <v>#N/A</v>
      </c>
      <c r="D1240" s="84">
        <v>0</v>
      </c>
      <c r="E1240" s="84">
        <v>1341.8181818181818</v>
      </c>
      <c r="F1240" s="84">
        <v>0</v>
      </c>
      <c r="G1240" s="84">
        <v>0</v>
      </c>
      <c r="H1240" s="84">
        <v>0</v>
      </c>
      <c r="I1240" s="84"/>
      <c r="J1240" s="84">
        <v>0</v>
      </c>
      <c r="K1240" s="84">
        <v>0</v>
      </c>
      <c r="L1240" s="84">
        <v>0</v>
      </c>
      <c r="M1240" s="84">
        <v>0</v>
      </c>
      <c r="N1240" s="84">
        <v>0</v>
      </c>
    </row>
    <row r="1241" spans="1:14" x14ac:dyDescent="0.25">
      <c r="A1241" s="74" t="s">
        <v>3194</v>
      </c>
      <c r="B1241" s="74">
        <v>6551</v>
      </c>
      <c r="C1241" t="e">
        <f>VLOOKUP(B1241,'Waste Lookups'!$B$1:$C$292,2,FALSE)</f>
        <v>#N/A</v>
      </c>
      <c r="D1241" s="84">
        <v>0</v>
      </c>
      <c r="E1241" s="84">
        <v>484.79999999999995</v>
      </c>
      <c r="F1241" s="84">
        <v>0</v>
      </c>
      <c r="G1241" s="84">
        <v>0</v>
      </c>
      <c r="H1241" s="84">
        <v>0</v>
      </c>
      <c r="I1241" s="84"/>
      <c r="J1241" s="84">
        <v>0</v>
      </c>
      <c r="K1241" s="84">
        <v>502.36</v>
      </c>
      <c r="L1241" s="84">
        <v>0</v>
      </c>
      <c r="M1241" s="84">
        <v>0</v>
      </c>
      <c r="N1241" s="84">
        <v>0</v>
      </c>
    </row>
    <row r="1242" spans="1:14" x14ac:dyDescent="0.25">
      <c r="A1242" s="74" t="s">
        <v>3196</v>
      </c>
      <c r="B1242" s="74">
        <v>6552</v>
      </c>
      <c r="C1242" t="e">
        <f>VLOOKUP(B1242,'Waste Lookups'!$B$1:$C$292,2,FALSE)</f>
        <v>#N/A</v>
      </c>
      <c r="D1242" s="84">
        <v>57.556363636363628</v>
      </c>
      <c r="E1242" s="84">
        <v>85.090909090909093</v>
      </c>
      <c r="F1242" s="84">
        <v>0</v>
      </c>
      <c r="G1242" s="84">
        <v>0</v>
      </c>
      <c r="H1242" s="84">
        <v>0</v>
      </c>
      <c r="I1242" s="84"/>
      <c r="J1242" s="84">
        <v>0</v>
      </c>
      <c r="K1242" s="84">
        <v>0</v>
      </c>
      <c r="L1242" s="84">
        <v>0</v>
      </c>
      <c r="M1242" s="84">
        <v>0</v>
      </c>
      <c r="N1242" s="84">
        <v>0</v>
      </c>
    </row>
    <row r="1243" spans="1:14" x14ac:dyDescent="0.25">
      <c r="A1243" s="74" t="s">
        <v>3198</v>
      </c>
      <c r="B1243" s="74">
        <v>6556</v>
      </c>
      <c r="C1243" t="e">
        <f>VLOOKUP(B1243,'Waste Lookups'!$B$1:$C$292,2,FALSE)</f>
        <v>#N/A</v>
      </c>
      <c r="D1243" s="84">
        <v>0</v>
      </c>
      <c r="E1243" s="84">
        <v>523.45090909090902</v>
      </c>
      <c r="F1243" s="84">
        <v>0</v>
      </c>
      <c r="G1243" s="84">
        <v>289.34181818181821</v>
      </c>
      <c r="H1243" s="84">
        <v>0</v>
      </c>
      <c r="I1243" s="84"/>
      <c r="J1243" s="84">
        <v>0</v>
      </c>
      <c r="K1243" s="84">
        <v>529.36765280648535</v>
      </c>
      <c r="L1243" s="84">
        <v>0</v>
      </c>
      <c r="M1243" s="84">
        <v>292.61234719351467</v>
      </c>
      <c r="N1243" s="84">
        <v>0</v>
      </c>
    </row>
    <row r="1244" spans="1:14" x14ac:dyDescent="0.25">
      <c r="A1244" s="74" t="s">
        <v>797</v>
      </c>
      <c r="B1244" s="74">
        <v>6557</v>
      </c>
      <c r="C1244" t="str">
        <f>VLOOKUP(B1244,'Waste Lookups'!$B$1:$C$292,2,FALSE)</f>
        <v>Morston House</v>
      </c>
      <c r="D1244" s="84">
        <v>0</v>
      </c>
      <c r="E1244" s="84">
        <v>242.0181818181818</v>
      </c>
      <c r="F1244" s="84">
        <v>0</v>
      </c>
      <c r="G1244" s="84">
        <v>518.9345454545454</v>
      </c>
      <c r="H1244" s="84">
        <v>0</v>
      </c>
      <c r="I1244" s="84"/>
      <c r="J1244" s="84">
        <v>0</v>
      </c>
      <c r="K1244" s="84">
        <v>214.73212432261948</v>
      </c>
      <c r="L1244" s="84">
        <v>0</v>
      </c>
      <c r="M1244" s="84">
        <v>460.42787567738048</v>
      </c>
      <c r="N1244" s="84">
        <v>0</v>
      </c>
    </row>
    <row r="1245" spans="1:14" x14ac:dyDescent="0.25">
      <c r="A1245" s="74" t="s">
        <v>3201</v>
      </c>
      <c r="B1245" s="74">
        <v>6559</v>
      </c>
      <c r="C1245" t="e">
        <f>VLOOKUP(B1245,'Waste Lookups'!$B$1:$C$292,2,FALSE)</f>
        <v>#N/A</v>
      </c>
      <c r="D1245" s="84">
        <v>0</v>
      </c>
      <c r="E1245" s="84">
        <v>117.88363636363637</v>
      </c>
      <c r="F1245" s="84">
        <v>0</v>
      </c>
      <c r="G1245" s="84">
        <v>0</v>
      </c>
      <c r="H1245" s="84">
        <v>0</v>
      </c>
      <c r="I1245" s="84"/>
      <c r="J1245" s="84">
        <v>0</v>
      </c>
      <c r="K1245" s="84">
        <v>497</v>
      </c>
      <c r="L1245" s="84">
        <v>0</v>
      </c>
      <c r="M1245" s="84">
        <v>0</v>
      </c>
      <c r="N1245" s="84">
        <v>0</v>
      </c>
    </row>
    <row r="1246" spans="1:14" x14ac:dyDescent="0.25">
      <c r="A1246" s="74" t="s">
        <v>3203</v>
      </c>
      <c r="B1246" s="74">
        <v>6562</v>
      </c>
      <c r="C1246" t="e">
        <f>VLOOKUP(B1246,'Waste Lookups'!$B$1:$C$292,2,FALSE)</f>
        <v>#N/A</v>
      </c>
      <c r="D1246" s="84">
        <v>0</v>
      </c>
      <c r="E1246" s="84">
        <v>0</v>
      </c>
      <c r="F1246" s="84">
        <v>0</v>
      </c>
      <c r="G1246" s="84">
        <v>0</v>
      </c>
      <c r="H1246" s="84">
        <v>0</v>
      </c>
      <c r="I1246" s="84"/>
      <c r="J1246" s="84">
        <v>0</v>
      </c>
      <c r="K1246" s="84">
        <v>0</v>
      </c>
      <c r="L1246" s="84">
        <v>0</v>
      </c>
      <c r="M1246" s="84">
        <v>0</v>
      </c>
      <c r="N1246" s="84">
        <v>0</v>
      </c>
    </row>
    <row r="1247" spans="1:14" x14ac:dyDescent="0.25">
      <c r="A1247" s="74" t="s">
        <v>3205</v>
      </c>
      <c r="B1247" s="74">
        <v>6563</v>
      </c>
      <c r="C1247" t="e">
        <f>VLOOKUP(B1247,'Waste Lookups'!$B$1:$C$292,2,FALSE)</f>
        <v>#N/A</v>
      </c>
      <c r="D1247" s="84">
        <v>0</v>
      </c>
      <c r="E1247" s="84">
        <v>248.50909090909093</v>
      </c>
      <c r="F1247" s="84">
        <v>0</v>
      </c>
      <c r="G1247" s="84">
        <v>226.65818181818184</v>
      </c>
      <c r="H1247" s="84">
        <v>25.527272727272724</v>
      </c>
      <c r="I1247" s="84"/>
      <c r="J1247" s="84">
        <v>0</v>
      </c>
      <c r="K1247" s="84">
        <v>253.23684772425216</v>
      </c>
      <c r="L1247" s="84">
        <v>0</v>
      </c>
      <c r="M1247" s="84">
        <v>230.97023639889321</v>
      </c>
      <c r="N1247" s="84">
        <v>26.012915876854692</v>
      </c>
    </row>
    <row r="1248" spans="1:14" x14ac:dyDescent="0.25">
      <c r="A1248" s="74" t="s">
        <v>3207</v>
      </c>
      <c r="B1248" s="74">
        <v>6581</v>
      </c>
      <c r="C1248" t="e">
        <f>VLOOKUP(B1248,'Waste Lookups'!$B$1:$C$292,2,FALSE)</f>
        <v>#N/A</v>
      </c>
      <c r="D1248" s="84">
        <v>107.32363636363635</v>
      </c>
      <c r="E1248" s="84">
        <v>0</v>
      </c>
      <c r="F1248" s="84">
        <v>0</v>
      </c>
      <c r="G1248" s="84">
        <v>0</v>
      </c>
      <c r="H1248" s="84">
        <v>0</v>
      </c>
      <c r="I1248" s="84"/>
      <c r="J1248" s="84">
        <v>1292.8399999999999</v>
      </c>
      <c r="K1248" s="84">
        <v>0</v>
      </c>
      <c r="L1248" s="84">
        <v>0</v>
      </c>
      <c r="M1248" s="84">
        <v>0</v>
      </c>
      <c r="N1248" s="84">
        <v>0</v>
      </c>
    </row>
    <row r="1249" spans="1:14" x14ac:dyDescent="0.25">
      <c r="A1249" s="74" t="s">
        <v>3209</v>
      </c>
      <c r="B1249" s="74">
        <v>6587</v>
      </c>
      <c r="C1249" t="e">
        <f>VLOOKUP(B1249,'Waste Lookups'!$B$1:$C$292,2,FALSE)</f>
        <v>#N/A</v>
      </c>
      <c r="D1249" s="84">
        <v>0</v>
      </c>
      <c r="E1249" s="84">
        <v>0</v>
      </c>
      <c r="F1249" s="84">
        <v>0</v>
      </c>
      <c r="G1249" s="84">
        <v>0</v>
      </c>
      <c r="H1249" s="84">
        <v>0</v>
      </c>
      <c r="I1249" s="84"/>
      <c r="J1249" s="84">
        <v>0</v>
      </c>
      <c r="K1249" s="84">
        <v>0</v>
      </c>
      <c r="L1249" s="84">
        <v>0</v>
      </c>
      <c r="M1249" s="84">
        <v>0</v>
      </c>
      <c r="N1249" s="84">
        <v>0</v>
      </c>
    </row>
    <row r="1250" spans="1:14" x14ac:dyDescent="0.25">
      <c r="A1250" s="74" t="s">
        <v>726</v>
      </c>
      <c r="B1250" s="74">
        <v>6591</v>
      </c>
      <c r="C1250" t="str">
        <f>VLOOKUP(B1250,'Waste Lookups'!$B$1:$C$292,2,FALSE)</f>
        <v>Anglesey House</v>
      </c>
      <c r="D1250" s="84">
        <v>0</v>
      </c>
      <c r="E1250" s="84">
        <v>1582.8109090909093</v>
      </c>
      <c r="F1250" s="84">
        <v>0</v>
      </c>
      <c r="G1250" s="84">
        <v>510.54545454545456</v>
      </c>
      <c r="H1250" s="84">
        <v>170.18181818181819</v>
      </c>
      <c r="I1250" s="84"/>
      <c r="J1250" s="84">
        <v>0</v>
      </c>
      <c r="K1250" s="84">
        <v>915.3995941510716</v>
      </c>
      <c r="L1250" s="84">
        <v>0</v>
      </c>
      <c r="M1250" s="84">
        <v>295.2678043866963</v>
      </c>
      <c r="N1250" s="84">
        <v>98.422601462232095</v>
      </c>
    </row>
    <row r="1251" spans="1:14" x14ac:dyDescent="0.25">
      <c r="A1251" s="74" t="s">
        <v>3212</v>
      </c>
      <c r="B1251" s="74">
        <v>6592</v>
      </c>
      <c r="C1251" t="e">
        <f>VLOOKUP(B1251,'Waste Lookups'!$B$1:$C$292,2,FALSE)</f>
        <v>#N/A</v>
      </c>
      <c r="D1251" s="84">
        <v>0</v>
      </c>
      <c r="E1251" s="84">
        <v>0</v>
      </c>
      <c r="F1251" s="84">
        <v>0</v>
      </c>
      <c r="G1251" s="84">
        <v>0</v>
      </c>
      <c r="H1251" s="84">
        <v>0</v>
      </c>
      <c r="I1251" s="84"/>
      <c r="J1251" s="84">
        <v>0</v>
      </c>
      <c r="K1251" s="84">
        <v>0</v>
      </c>
      <c r="L1251" s="84">
        <v>0</v>
      </c>
      <c r="M1251" s="84">
        <v>0</v>
      </c>
      <c r="N1251" s="84">
        <v>0</v>
      </c>
    </row>
    <row r="1252" spans="1:14" x14ac:dyDescent="0.25">
      <c r="A1252" s="74" t="s">
        <v>3214</v>
      </c>
      <c r="B1252" s="74">
        <v>6593</v>
      </c>
      <c r="C1252" t="e">
        <f>VLOOKUP(B1252,'Waste Lookups'!$B$1:$C$292,2,FALSE)</f>
        <v>#N/A</v>
      </c>
      <c r="D1252" s="84">
        <v>442.25454545454545</v>
      </c>
      <c r="E1252" s="84">
        <v>399.90545454545452</v>
      </c>
      <c r="F1252" s="84">
        <v>0</v>
      </c>
      <c r="G1252" s="84">
        <v>0</v>
      </c>
      <c r="H1252" s="84">
        <v>170.33454545454543</v>
      </c>
      <c r="I1252" s="84"/>
      <c r="J1252" s="84">
        <v>754.42261561005046</v>
      </c>
      <c r="K1252" s="84">
        <v>682.1811604102918</v>
      </c>
      <c r="L1252" s="84">
        <v>0</v>
      </c>
      <c r="M1252" s="84">
        <v>0</v>
      </c>
      <c r="N1252" s="84">
        <v>290.56622397965776</v>
      </c>
    </row>
    <row r="1253" spans="1:14" x14ac:dyDescent="0.25">
      <c r="A1253" s="74" t="s">
        <v>3216</v>
      </c>
      <c r="B1253" s="74">
        <v>6596</v>
      </c>
      <c r="C1253" t="e">
        <f>VLOOKUP(B1253,'Waste Lookups'!$B$1:$C$292,2,FALSE)</f>
        <v>#N/A</v>
      </c>
      <c r="D1253" s="84">
        <v>0</v>
      </c>
      <c r="E1253" s="84">
        <v>589.57090909090914</v>
      </c>
      <c r="F1253" s="84">
        <v>170.33454545454543</v>
      </c>
      <c r="G1253" s="84">
        <v>136.23272727272726</v>
      </c>
      <c r="H1253" s="84">
        <v>66.763636363636365</v>
      </c>
      <c r="I1253" s="84"/>
      <c r="J1253" s="84">
        <v>0</v>
      </c>
      <c r="K1253" s="84">
        <v>409.26393492397972</v>
      </c>
      <c r="L1253" s="84">
        <v>118.24156390909293</v>
      </c>
      <c r="M1253" s="84">
        <v>94.569018195001448</v>
      </c>
      <c r="N1253" s="84">
        <v>46.345482971925762</v>
      </c>
    </row>
    <row r="1254" spans="1:14" x14ac:dyDescent="0.25">
      <c r="A1254" s="74" t="s">
        <v>796</v>
      </c>
      <c r="B1254" s="74">
        <v>6598</v>
      </c>
      <c r="C1254" t="str">
        <f>VLOOKUP(B1254,'Waste Lookups'!$B$1:$C$292,2,FALSE)</f>
        <v>Herbert Minton</v>
      </c>
      <c r="D1254" s="84">
        <v>0</v>
      </c>
      <c r="E1254" s="84">
        <v>1072.8327272727272</v>
      </c>
      <c r="F1254" s="84">
        <v>0</v>
      </c>
      <c r="G1254" s="84">
        <v>995.44363636363641</v>
      </c>
      <c r="H1254" s="84">
        <v>126.07636363636362</v>
      </c>
      <c r="I1254" s="84"/>
      <c r="J1254" s="84">
        <v>0</v>
      </c>
      <c r="K1254" s="84">
        <v>1221.0335405097715</v>
      </c>
      <c r="L1254" s="84">
        <v>0</v>
      </c>
      <c r="M1254" s="84">
        <v>1132.9539422020493</v>
      </c>
      <c r="N1254" s="84">
        <v>143.49251728817941</v>
      </c>
    </row>
    <row r="1255" spans="1:14" x14ac:dyDescent="0.25">
      <c r="A1255" s="74" t="s">
        <v>727</v>
      </c>
      <c r="B1255" s="74">
        <v>6599</v>
      </c>
      <c r="C1255" t="str">
        <f>VLOOKUP(B1255,'Waste Lookups'!$B$1:$C$292,2,FALSE)</f>
        <v>Heron House</v>
      </c>
      <c r="D1255" s="84">
        <v>0</v>
      </c>
      <c r="E1255" s="84">
        <v>2852.050909090909</v>
      </c>
      <c r="F1255" s="84">
        <v>0</v>
      </c>
      <c r="G1255" s="84">
        <v>238.42909090909092</v>
      </c>
      <c r="H1255" s="84">
        <v>878.04</v>
      </c>
      <c r="I1255" s="84"/>
      <c r="J1255" s="84">
        <v>0</v>
      </c>
      <c r="K1255" s="84">
        <v>2887.4381533944875</v>
      </c>
      <c r="L1255" s="84">
        <v>0</v>
      </c>
      <c r="M1255" s="84">
        <v>241.38743518765412</v>
      </c>
      <c r="N1255" s="84">
        <v>888.93441141785854</v>
      </c>
    </row>
    <row r="1256" spans="1:14" x14ac:dyDescent="0.25">
      <c r="A1256" s="74" t="s">
        <v>3220</v>
      </c>
      <c r="B1256" s="74">
        <v>6600</v>
      </c>
      <c r="C1256" t="e">
        <f>VLOOKUP(B1256,'Waste Lookups'!$B$1:$C$292,2,FALSE)</f>
        <v>#N/A</v>
      </c>
      <c r="D1256" s="84">
        <v>0</v>
      </c>
      <c r="E1256" s="84">
        <v>544.57090909090914</v>
      </c>
      <c r="F1256" s="84">
        <v>0</v>
      </c>
      <c r="G1256" s="84">
        <v>115.50545454545454</v>
      </c>
      <c r="H1256" s="84">
        <v>0</v>
      </c>
      <c r="I1256" s="84"/>
      <c r="J1256" s="84">
        <v>0</v>
      </c>
      <c r="K1256" s="84">
        <v>579.53791693523067</v>
      </c>
      <c r="L1256" s="84">
        <v>0</v>
      </c>
      <c r="M1256" s="84">
        <v>122.92208306476935</v>
      </c>
      <c r="N1256" s="84">
        <v>0</v>
      </c>
    </row>
    <row r="1257" spans="1:14" x14ac:dyDescent="0.25">
      <c r="A1257" s="74" t="s">
        <v>3222</v>
      </c>
      <c r="B1257" s="74">
        <v>6601</v>
      </c>
      <c r="C1257" t="e">
        <f>VLOOKUP(B1257,'Waste Lookups'!$B$1:$C$292,2,FALSE)</f>
        <v>#N/A</v>
      </c>
      <c r="D1257" s="84">
        <v>0</v>
      </c>
      <c r="E1257" s="84">
        <v>14.727272727272727</v>
      </c>
      <c r="F1257" s="84">
        <v>42.589090909090906</v>
      </c>
      <c r="G1257" s="84">
        <v>0</v>
      </c>
      <c r="H1257" s="84">
        <v>0</v>
      </c>
      <c r="I1257" s="84"/>
      <c r="J1257" s="84">
        <v>0</v>
      </c>
      <c r="K1257" s="84">
        <v>115.21507422915873</v>
      </c>
      <c r="L1257" s="84">
        <v>333.18492577084123</v>
      </c>
      <c r="M1257" s="84">
        <v>0</v>
      </c>
      <c r="N1257" s="84">
        <v>0</v>
      </c>
    </row>
    <row r="1258" spans="1:14" x14ac:dyDescent="0.25">
      <c r="A1258" s="74" t="s">
        <v>3224</v>
      </c>
      <c r="B1258" s="74">
        <v>6609</v>
      </c>
      <c r="C1258" t="e">
        <f>VLOOKUP(B1258,'Waste Lookups'!$B$1:$C$292,2,FALSE)</f>
        <v>#N/A</v>
      </c>
      <c r="D1258" s="84">
        <v>120.32727272727273</v>
      </c>
      <c r="E1258" s="84">
        <v>380.01818181818186</v>
      </c>
      <c r="F1258" s="84">
        <v>181.18909090909091</v>
      </c>
      <c r="G1258" s="84">
        <v>280.50545454545454</v>
      </c>
      <c r="H1258" s="84">
        <v>0</v>
      </c>
      <c r="I1258" s="84"/>
      <c r="J1258" s="84">
        <v>144.69816072663775</v>
      </c>
      <c r="K1258" s="84">
        <v>456.98643961128073</v>
      </c>
      <c r="L1258" s="84">
        <v>217.88683150577751</v>
      </c>
      <c r="M1258" s="84">
        <v>337.31856815630425</v>
      </c>
      <c r="N1258" s="84">
        <v>0</v>
      </c>
    </row>
    <row r="1259" spans="1:14" x14ac:dyDescent="0.25">
      <c r="A1259" s="74" t="s">
        <v>3226</v>
      </c>
      <c r="B1259" s="74">
        <v>6610</v>
      </c>
      <c r="C1259" t="e">
        <f>VLOOKUP(B1259,'Waste Lookups'!$B$1:$C$292,2,FALSE)</f>
        <v>#N/A</v>
      </c>
      <c r="D1259" s="84">
        <v>1201.6036363636365</v>
      </c>
      <c r="E1259" s="84">
        <v>1789.4836363636364</v>
      </c>
      <c r="F1259" s="84">
        <v>0</v>
      </c>
      <c r="G1259" s="84">
        <v>605.78181818181815</v>
      </c>
      <c r="H1259" s="84">
        <v>171.04363636363635</v>
      </c>
      <c r="I1259" s="84"/>
      <c r="J1259" s="84">
        <v>1027.716998511836</v>
      </c>
      <c r="K1259" s="84">
        <v>1530.523623592903</v>
      </c>
      <c r="L1259" s="84">
        <v>0</v>
      </c>
      <c r="M1259" s="84">
        <v>518.11783278130349</v>
      </c>
      <c r="N1259" s="84">
        <v>146.29154511395745</v>
      </c>
    </row>
    <row r="1260" spans="1:14" x14ac:dyDescent="0.25">
      <c r="A1260" s="74" t="s">
        <v>3228</v>
      </c>
      <c r="B1260" s="74">
        <v>6611</v>
      </c>
      <c r="C1260" t="e">
        <f>VLOOKUP(B1260,'Waste Lookups'!$B$1:$C$292,2,FALSE)</f>
        <v>#N/A</v>
      </c>
      <c r="D1260" s="84">
        <v>0</v>
      </c>
      <c r="E1260" s="84">
        <v>0</v>
      </c>
      <c r="F1260" s="84">
        <v>936.3054545454545</v>
      </c>
      <c r="G1260" s="84">
        <v>0</v>
      </c>
      <c r="H1260" s="84">
        <v>0</v>
      </c>
      <c r="I1260" s="84"/>
      <c r="J1260" s="84">
        <v>0</v>
      </c>
      <c r="K1260" s="84">
        <v>0</v>
      </c>
      <c r="L1260" s="84">
        <v>0</v>
      </c>
      <c r="M1260" s="84">
        <v>0</v>
      </c>
      <c r="N1260" s="84">
        <v>0</v>
      </c>
    </row>
    <row r="1261" spans="1:14" x14ac:dyDescent="0.25">
      <c r="A1261" s="74" t="s">
        <v>3230</v>
      </c>
      <c r="B1261" s="74">
        <v>6612</v>
      </c>
      <c r="C1261" t="e">
        <f>VLOOKUP(B1261,'Waste Lookups'!$B$1:$C$292,2,FALSE)</f>
        <v>#N/A</v>
      </c>
      <c r="D1261" s="84">
        <v>555.27272727272725</v>
      </c>
      <c r="E1261" s="84">
        <v>231.60000000000002</v>
      </c>
      <c r="F1261" s="84">
        <v>0</v>
      </c>
      <c r="G1261" s="84">
        <v>337.41818181818184</v>
      </c>
      <c r="H1261" s="84">
        <v>31.418181818181818</v>
      </c>
      <c r="I1261" s="84"/>
      <c r="J1261" s="84">
        <v>313.06815178402871</v>
      </c>
      <c r="K1261" s="84">
        <v>130.57832735510667</v>
      </c>
      <c r="L1261" s="84">
        <v>0</v>
      </c>
      <c r="M1261" s="84">
        <v>190.23964508212197</v>
      </c>
      <c r="N1261" s="84">
        <v>17.713875778742683</v>
      </c>
    </row>
    <row r="1262" spans="1:14" x14ac:dyDescent="0.25">
      <c r="A1262" s="74" t="s">
        <v>3232</v>
      </c>
      <c r="B1262" s="74">
        <v>6613</v>
      </c>
      <c r="C1262" t="e">
        <f>VLOOKUP(B1262,'Waste Lookups'!$B$1:$C$292,2,FALSE)</f>
        <v>#N/A</v>
      </c>
      <c r="D1262" s="84">
        <v>0</v>
      </c>
      <c r="E1262" s="84">
        <v>633.76363636363646</v>
      </c>
      <c r="F1262" s="84">
        <v>0</v>
      </c>
      <c r="G1262" s="84">
        <v>108.21818181818182</v>
      </c>
      <c r="H1262" s="84">
        <v>89.956363636363633</v>
      </c>
      <c r="I1262" s="84"/>
      <c r="J1262" s="84">
        <v>0</v>
      </c>
      <c r="K1262" s="84">
        <v>618.87961081024378</v>
      </c>
      <c r="L1262" s="84">
        <v>0</v>
      </c>
      <c r="M1262" s="84">
        <v>105.67666303877471</v>
      </c>
      <c r="N1262" s="84">
        <v>87.843726150981468</v>
      </c>
    </row>
    <row r="1263" spans="1:14" x14ac:dyDescent="0.25">
      <c r="A1263" s="74" t="s">
        <v>3234</v>
      </c>
      <c r="B1263" s="74">
        <v>6631</v>
      </c>
      <c r="C1263" t="e">
        <f>VLOOKUP(B1263,'Waste Lookups'!$B$1:$C$292,2,FALSE)</f>
        <v>#N/A</v>
      </c>
      <c r="D1263" s="84">
        <v>0</v>
      </c>
      <c r="E1263" s="84">
        <v>0</v>
      </c>
      <c r="F1263" s="84">
        <v>0</v>
      </c>
      <c r="G1263" s="84">
        <v>28.330909090909088</v>
      </c>
      <c r="H1263" s="84">
        <v>4.2218181818181817</v>
      </c>
      <c r="I1263" s="84"/>
      <c r="J1263" s="84">
        <v>0</v>
      </c>
      <c r="K1263" s="84">
        <v>0</v>
      </c>
      <c r="L1263" s="84">
        <v>0</v>
      </c>
      <c r="M1263" s="84">
        <v>10.57424597855228</v>
      </c>
      <c r="N1263" s="84">
        <v>1.5757540214477217</v>
      </c>
    </row>
    <row r="1264" spans="1:14" x14ac:dyDescent="0.25">
      <c r="A1264" s="74" t="s">
        <v>3236</v>
      </c>
      <c r="B1264" s="74">
        <v>6633</v>
      </c>
      <c r="C1264" t="e">
        <f>VLOOKUP(B1264,'Waste Lookups'!$B$1:$C$292,2,FALSE)</f>
        <v>#N/A</v>
      </c>
      <c r="D1264" s="84">
        <v>0</v>
      </c>
      <c r="E1264" s="84">
        <v>1214.4327272727273</v>
      </c>
      <c r="F1264" s="84">
        <v>59.694545454545455</v>
      </c>
      <c r="G1264" s="84">
        <v>170.18181818181819</v>
      </c>
      <c r="H1264" s="84">
        <v>170.18181818181819</v>
      </c>
      <c r="I1264" s="84"/>
      <c r="J1264" s="84">
        <v>0</v>
      </c>
      <c r="K1264" s="84">
        <v>1365.4227241460858</v>
      </c>
      <c r="L1264" s="84">
        <v>67.116347444170401</v>
      </c>
      <c r="M1264" s="84">
        <v>191.34046420487175</v>
      </c>
      <c r="N1264" s="84">
        <v>191.34046420487175</v>
      </c>
    </row>
    <row r="1265" spans="1:14" x14ac:dyDescent="0.25">
      <c r="A1265" s="74" t="s">
        <v>3238</v>
      </c>
      <c r="B1265" s="74">
        <v>6634</v>
      </c>
      <c r="C1265" t="e">
        <f>VLOOKUP(B1265,'Waste Lookups'!$B$1:$C$292,2,FALSE)</f>
        <v>#N/A</v>
      </c>
      <c r="D1265" s="84">
        <v>0</v>
      </c>
      <c r="E1265" s="84">
        <v>1803.7309090909091</v>
      </c>
      <c r="F1265" s="84">
        <v>0</v>
      </c>
      <c r="G1265" s="84">
        <v>202.69090909090909</v>
      </c>
      <c r="H1265" s="84">
        <v>174.40363636363637</v>
      </c>
      <c r="I1265" s="84"/>
      <c r="J1265" s="84">
        <v>0</v>
      </c>
      <c r="K1265" s="84">
        <v>1935.5804995272847</v>
      </c>
      <c r="L1265" s="84">
        <v>0</v>
      </c>
      <c r="M1265" s="84">
        <v>217.50726180412084</v>
      </c>
      <c r="N1265" s="84">
        <v>187.15223866859418</v>
      </c>
    </row>
    <row r="1266" spans="1:14" x14ac:dyDescent="0.25">
      <c r="A1266" s="74" t="s">
        <v>798</v>
      </c>
      <c r="B1266" s="74">
        <v>6635</v>
      </c>
      <c r="C1266" t="str">
        <f>VLOOKUP(B1266,'Waste Lookups'!$B$1:$C$292,2,FALSE)</f>
        <v>Edwin House</v>
      </c>
      <c r="D1266" s="84">
        <v>0</v>
      </c>
      <c r="E1266" s="84">
        <v>987.9818181818182</v>
      </c>
      <c r="F1266" s="84">
        <v>0</v>
      </c>
      <c r="G1266" s="84">
        <v>382.90909090909093</v>
      </c>
      <c r="H1266" s="84">
        <v>127.63636363636364</v>
      </c>
      <c r="I1266" s="84"/>
      <c r="J1266" s="84">
        <v>0</v>
      </c>
      <c r="K1266" s="84">
        <v>1109.2028562588723</v>
      </c>
      <c r="L1266" s="84">
        <v>0</v>
      </c>
      <c r="M1266" s="84">
        <v>429.89035780584572</v>
      </c>
      <c r="N1266" s="84">
        <v>143.29678593528192</v>
      </c>
    </row>
    <row r="1267" spans="1:14" x14ac:dyDescent="0.25">
      <c r="A1267" s="74" t="s">
        <v>3241</v>
      </c>
      <c r="B1267" s="74">
        <v>6637</v>
      </c>
      <c r="C1267" t="e">
        <f>VLOOKUP(B1267,'Waste Lookups'!$B$1:$C$292,2,FALSE)</f>
        <v>#N/A</v>
      </c>
      <c r="D1267" s="84">
        <v>0</v>
      </c>
      <c r="E1267" s="84">
        <v>416.30181818181825</v>
      </c>
      <c r="F1267" s="84">
        <v>59.694545454545455</v>
      </c>
      <c r="G1267" s="84">
        <v>117.63272727272727</v>
      </c>
      <c r="H1267" s="84">
        <v>89.312727272727273</v>
      </c>
      <c r="I1267" s="84"/>
      <c r="J1267" s="84">
        <v>0</v>
      </c>
      <c r="K1267" s="84">
        <v>660.15975895723852</v>
      </c>
      <c r="L1267" s="84">
        <v>94.661937606823955</v>
      </c>
      <c r="M1267" s="84">
        <v>186.53868297046463</v>
      </c>
      <c r="N1267" s="84">
        <v>141.62962046547287</v>
      </c>
    </row>
    <row r="1268" spans="1:14" x14ac:dyDescent="0.25">
      <c r="A1268" s="74" t="s">
        <v>3243</v>
      </c>
      <c r="B1268" s="74">
        <v>6638</v>
      </c>
      <c r="C1268" t="e">
        <f>VLOOKUP(B1268,'Waste Lookups'!$B$1:$C$292,2,FALSE)</f>
        <v>#N/A</v>
      </c>
      <c r="D1268" s="84">
        <v>0</v>
      </c>
      <c r="E1268" s="84">
        <v>1704.4472727272728</v>
      </c>
      <c r="F1268" s="84">
        <v>177.51272727272726</v>
      </c>
      <c r="G1268" s="84">
        <v>230.72727272727272</v>
      </c>
      <c r="H1268" s="84">
        <v>178.62545454545455</v>
      </c>
      <c r="I1268" s="84"/>
      <c r="J1268" s="84">
        <v>0</v>
      </c>
      <c r="K1268" s="84">
        <v>1794.520910125359</v>
      </c>
      <c r="L1268" s="84">
        <v>186.89360826901927</v>
      </c>
      <c r="M1268" s="84">
        <v>242.92034260630271</v>
      </c>
      <c r="N1268" s="84">
        <v>188.0651389993192</v>
      </c>
    </row>
    <row r="1269" spans="1:14" x14ac:dyDescent="0.25">
      <c r="A1269" s="74" t="s">
        <v>3245</v>
      </c>
      <c r="B1269" s="74">
        <v>6639</v>
      </c>
      <c r="C1269" t="e">
        <f>VLOOKUP(B1269,'Waste Lookups'!$B$1:$C$292,2,FALSE)</f>
        <v>#N/A</v>
      </c>
      <c r="D1269" s="84">
        <v>0</v>
      </c>
      <c r="E1269" s="84">
        <v>1077.3054545454545</v>
      </c>
      <c r="F1269" s="84">
        <v>0</v>
      </c>
      <c r="G1269" s="84">
        <v>287.81454545454545</v>
      </c>
      <c r="H1269" s="84">
        <v>654.84</v>
      </c>
      <c r="I1269" s="84"/>
      <c r="J1269" s="84">
        <v>0</v>
      </c>
      <c r="K1269" s="84">
        <v>768.76866247576459</v>
      </c>
      <c r="L1269" s="84">
        <v>0</v>
      </c>
      <c r="M1269" s="84">
        <v>205.38539205996878</v>
      </c>
      <c r="N1269" s="84">
        <v>467.29594546426665</v>
      </c>
    </row>
    <row r="1270" spans="1:14" x14ac:dyDescent="0.25">
      <c r="A1270" s="74" t="s">
        <v>3247</v>
      </c>
      <c r="B1270" s="74">
        <v>6640</v>
      </c>
      <c r="C1270" t="e">
        <f>VLOOKUP(B1270,'Waste Lookups'!$B$1:$C$292,2,FALSE)</f>
        <v>#N/A</v>
      </c>
      <c r="D1270" s="84">
        <v>0</v>
      </c>
      <c r="E1270" s="84">
        <v>501.77454545454543</v>
      </c>
      <c r="F1270" s="84">
        <v>59.694545454545455</v>
      </c>
      <c r="G1270" s="84">
        <v>117.63272727272727</v>
      </c>
      <c r="H1270" s="84">
        <v>89.312727272727273</v>
      </c>
      <c r="I1270" s="84"/>
      <c r="J1270" s="84">
        <v>0</v>
      </c>
      <c r="K1270" s="84">
        <v>704.44312558562126</v>
      </c>
      <c r="L1270" s="84">
        <v>83.805391408046773</v>
      </c>
      <c r="M1270" s="84">
        <v>165.1450174621653</v>
      </c>
      <c r="N1270" s="84">
        <v>125.38646554416648</v>
      </c>
    </row>
    <row r="1271" spans="1:14" x14ac:dyDescent="0.25">
      <c r="A1271" s="74" t="s">
        <v>3249</v>
      </c>
      <c r="B1271" s="74">
        <v>6641</v>
      </c>
      <c r="C1271" t="e">
        <f>VLOOKUP(B1271,'Waste Lookups'!$B$1:$C$292,2,FALSE)</f>
        <v>#N/A</v>
      </c>
      <c r="D1271" s="84">
        <v>0</v>
      </c>
      <c r="E1271" s="84">
        <v>843.17454545454552</v>
      </c>
      <c r="F1271" s="84">
        <v>0</v>
      </c>
      <c r="G1271" s="84">
        <v>85.090909090909093</v>
      </c>
      <c r="H1271" s="84">
        <v>85.090909090909093</v>
      </c>
      <c r="I1271" s="84"/>
      <c r="J1271" s="84">
        <v>0</v>
      </c>
      <c r="K1271" s="84">
        <v>849.60940446329573</v>
      </c>
      <c r="L1271" s="84">
        <v>0</v>
      </c>
      <c r="M1271" s="84">
        <v>85.74029776835215</v>
      </c>
      <c r="N1271" s="84">
        <v>85.74029776835215</v>
      </c>
    </row>
    <row r="1272" spans="1:14" x14ac:dyDescent="0.25">
      <c r="A1272" s="74" t="s">
        <v>3251</v>
      </c>
      <c r="B1272" s="74">
        <v>6642</v>
      </c>
      <c r="C1272" t="e">
        <f>VLOOKUP(B1272,'Waste Lookups'!$B$1:$C$292,2,FALSE)</f>
        <v>#N/A</v>
      </c>
      <c r="D1272" s="84">
        <v>0</v>
      </c>
      <c r="E1272" s="84">
        <v>296.39999999999998</v>
      </c>
      <c r="F1272" s="84">
        <v>59.694545454545455</v>
      </c>
      <c r="G1272" s="84">
        <v>75.087272727272719</v>
      </c>
      <c r="H1272" s="84">
        <v>46.767272727272726</v>
      </c>
      <c r="I1272" s="84"/>
      <c r="J1272" s="84">
        <v>0</v>
      </c>
      <c r="K1272" s="84">
        <v>328.6173422806537</v>
      </c>
      <c r="L1272" s="84">
        <v>66.183073130649149</v>
      </c>
      <c r="M1272" s="84">
        <v>83.248920387108555</v>
      </c>
      <c r="N1272" s="84">
        <v>51.850664201588614</v>
      </c>
    </row>
    <row r="1273" spans="1:14" x14ac:dyDescent="0.25">
      <c r="A1273" s="74" t="s">
        <v>3253</v>
      </c>
      <c r="B1273" s="74">
        <v>6644</v>
      </c>
      <c r="C1273" t="e">
        <f>VLOOKUP(B1273,'Waste Lookups'!$B$1:$C$292,2,FALSE)</f>
        <v>#N/A</v>
      </c>
      <c r="D1273" s="84">
        <v>0</v>
      </c>
      <c r="E1273" s="84">
        <v>289.42909090909092</v>
      </c>
      <c r="F1273" s="84">
        <v>0</v>
      </c>
      <c r="G1273" s="84">
        <v>42.545454545454547</v>
      </c>
      <c r="H1273" s="84">
        <v>42.545454545454547</v>
      </c>
      <c r="I1273" s="84"/>
      <c r="J1273" s="84">
        <v>0</v>
      </c>
      <c r="K1273" s="84">
        <v>432.99216422475308</v>
      </c>
      <c r="L1273" s="84">
        <v>0</v>
      </c>
      <c r="M1273" s="84">
        <v>63.648917887623419</v>
      </c>
      <c r="N1273" s="84">
        <v>63.648917887623419</v>
      </c>
    </row>
    <row r="1274" spans="1:14" x14ac:dyDescent="0.25">
      <c r="A1274" s="74" t="s">
        <v>795</v>
      </c>
      <c r="B1274" s="74">
        <v>6645</v>
      </c>
      <c r="C1274" t="str">
        <f>VLOOKUP(B1274,'Waste Lookups'!$B$1:$C$292,2,FALSE)</f>
        <v>Merlin House</v>
      </c>
      <c r="D1274" s="84">
        <v>0</v>
      </c>
      <c r="E1274" s="84">
        <v>2691.1636363636367</v>
      </c>
      <c r="F1274" s="84">
        <v>0</v>
      </c>
      <c r="G1274" s="84">
        <v>765.81818181818187</v>
      </c>
      <c r="H1274" s="84">
        <v>826.63636363636374</v>
      </c>
      <c r="I1274" s="84"/>
      <c r="J1274" s="84">
        <v>0</v>
      </c>
      <c r="K1274" s="84">
        <v>2341.0310239007808</v>
      </c>
      <c r="L1274" s="84">
        <v>0</v>
      </c>
      <c r="M1274" s="84">
        <v>666.1817579870883</v>
      </c>
      <c r="N1274" s="84">
        <v>719.08721811213127</v>
      </c>
    </row>
    <row r="1275" spans="1:14" x14ac:dyDescent="0.25">
      <c r="A1275" s="74" t="s">
        <v>3256</v>
      </c>
      <c r="B1275" s="74">
        <v>6646</v>
      </c>
      <c r="C1275" t="e">
        <f>VLOOKUP(B1275,'Waste Lookups'!$B$1:$C$292,2,FALSE)</f>
        <v>#N/A</v>
      </c>
      <c r="D1275" s="84">
        <v>0</v>
      </c>
      <c r="E1275" s="84">
        <v>591.01090909090908</v>
      </c>
      <c r="F1275" s="84">
        <v>59.694545454545455</v>
      </c>
      <c r="G1275" s="84">
        <v>117.63272727272727</v>
      </c>
      <c r="H1275" s="84">
        <v>89.312727272727273</v>
      </c>
      <c r="I1275" s="84"/>
      <c r="J1275" s="84">
        <v>0</v>
      </c>
      <c r="K1275" s="84">
        <v>712.01010252105107</v>
      </c>
      <c r="L1275" s="84">
        <v>71.915964282988625</v>
      </c>
      <c r="M1275" s="84">
        <v>141.71598005545803</v>
      </c>
      <c r="N1275" s="84">
        <v>107.59795314050217</v>
      </c>
    </row>
    <row r="1276" spans="1:14" x14ac:dyDescent="0.25">
      <c r="A1276" s="74" t="s">
        <v>3258</v>
      </c>
      <c r="B1276" s="74">
        <v>6648</v>
      </c>
      <c r="C1276" t="e">
        <f>VLOOKUP(B1276,'Waste Lookups'!$B$1:$C$292,2,FALSE)</f>
        <v>#N/A</v>
      </c>
      <c r="D1276" s="84">
        <v>19.636363636363637</v>
      </c>
      <c r="E1276" s="84">
        <v>1167.3599999999999</v>
      </c>
      <c r="F1276" s="84">
        <v>236.4218181818182</v>
      </c>
      <c r="G1276" s="84">
        <v>170.18181818181819</v>
      </c>
      <c r="H1276" s="84">
        <v>170.18181818181819</v>
      </c>
      <c r="I1276" s="84"/>
      <c r="J1276" s="84">
        <v>24.77115289460663</v>
      </c>
      <c r="K1276" s="84">
        <v>1472.6175160811476</v>
      </c>
      <c r="L1276" s="84">
        <v>298.24468085106383</v>
      </c>
      <c r="M1276" s="84">
        <v>214.68332508659077</v>
      </c>
      <c r="N1276" s="84">
        <v>214.68332508659077</v>
      </c>
    </row>
    <row r="1277" spans="1:14" x14ac:dyDescent="0.25">
      <c r="A1277" s="74" t="s">
        <v>3260</v>
      </c>
      <c r="B1277" s="74">
        <v>6649</v>
      </c>
      <c r="C1277" t="e">
        <f>VLOOKUP(B1277,'Waste Lookups'!$B$1:$C$292,2,FALSE)</f>
        <v>#N/A</v>
      </c>
      <c r="D1277" s="84">
        <v>0</v>
      </c>
      <c r="E1277" s="84">
        <v>868.14545454545453</v>
      </c>
      <c r="F1277" s="84">
        <v>59.694545454545455</v>
      </c>
      <c r="G1277" s="84">
        <v>160.54909090909089</v>
      </c>
      <c r="H1277" s="84">
        <v>131.84727272727272</v>
      </c>
      <c r="I1277" s="84"/>
      <c r="J1277" s="84">
        <v>0</v>
      </c>
      <c r="K1277" s="84">
        <v>1229.8882499664744</v>
      </c>
      <c r="L1277" s="84">
        <v>84.568340083143354</v>
      </c>
      <c r="M1277" s="84">
        <v>227.44741611908273</v>
      </c>
      <c r="N1277" s="84">
        <v>186.78599383129946</v>
      </c>
    </row>
    <row r="1278" spans="1:14" x14ac:dyDescent="0.25">
      <c r="A1278" s="74" t="s">
        <v>3262</v>
      </c>
      <c r="B1278" s="74">
        <v>6650</v>
      </c>
      <c r="C1278" t="e">
        <f>VLOOKUP(B1278,'Waste Lookups'!$B$1:$C$292,2,FALSE)</f>
        <v>#N/A</v>
      </c>
      <c r="D1278" s="84">
        <v>0</v>
      </c>
      <c r="E1278" s="84">
        <v>3388.7890909090906</v>
      </c>
      <c r="F1278" s="84">
        <v>0</v>
      </c>
      <c r="G1278" s="84">
        <v>372.90545454545452</v>
      </c>
      <c r="H1278" s="84">
        <v>344.58545454545452</v>
      </c>
      <c r="I1278" s="84"/>
      <c r="J1278" s="84">
        <v>0</v>
      </c>
      <c r="K1278" s="84">
        <v>3377.4581358309711</v>
      </c>
      <c r="L1278" s="84">
        <v>0</v>
      </c>
      <c r="M1278" s="84">
        <v>371.65858587334526</v>
      </c>
      <c r="N1278" s="84">
        <v>343.43327829568369</v>
      </c>
    </row>
    <row r="1279" spans="1:14" x14ac:dyDescent="0.25">
      <c r="A1279" s="74" t="s">
        <v>3264</v>
      </c>
      <c r="B1279" s="74">
        <v>6651</v>
      </c>
      <c r="C1279" t="e">
        <f>VLOOKUP(B1279,'Waste Lookups'!$B$1:$C$292,2,FALSE)</f>
        <v>#N/A</v>
      </c>
      <c r="D1279" s="84">
        <v>0</v>
      </c>
      <c r="E1279" s="84">
        <v>858.20727272727277</v>
      </c>
      <c r="F1279" s="84">
        <v>59.694545454545455</v>
      </c>
      <c r="G1279" s="84">
        <v>430.37454545454545</v>
      </c>
      <c r="H1279" s="84">
        <v>131.85818181818183</v>
      </c>
      <c r="I1279" s="84"/>
      <c r="J1279" s="84">
        <v>0</v>
      </c>
      <c r="K1279" s="84">
        <v>1065.7501567670749</v>
      </c>
      <c r="L1279" s="84">
        <v>74.130659571488565</v>
      </c>
      <c r="M1279" s="84">
        <v>534.45333529875643</v>
      </c>
      <c r="N1279" s="84">
        <v>163.74584836267954</v>
      </c>
    </row>
    <row r="1280" spans="1:14" x14ac:dyDescent="0.25">
      <c r="A1280" s="74" t="s">
        <v>3266</v>
      </c>
      <c r="B1280" s="74">
        <v>6652</v>
      </c>
      <c r="C1280" t="e">
        <f>VLOOKUP(B1280,'Waste Lookups'!$B$1:$C$292,2,FALSE)</f>
        <v>#N/A</v>
      </c>
      <c r="D1280" s="84">
        <v>0</v>
      </c>
      <c r="E1280" s="84">
        <v>1049.6618181818183</v>
      </c>
      <c r="F1280" s="84">
        <v>177.51272727272726</v>
      </c>
      <c r="G1280" s="84">
        <v>187.96363636363637</v>
      </c>
      <c r="H1280" s="84">
        <v>131.84727272727272</v>
      </c>
      <c r="I1280" s="84"/>
      <c r="J1280" s="84">
        <v>0</v>
      </c>
      <c r="K1280" s="84">
        <v>1120.5431858088812</v>
      </c>
      <c r="L1280" s="84">
        <v>189.49977363599822</v>
      </c>
      <c r="M1280" s="84">
        <v>200.65640976820609</v>
      </c>
      <c r="N1280" s="84">
        <v>140.7506307869146</v>
      </c>
    </row>
    <row r="1281" spans="1:14" x14ac:dyDescent="0.25">
      <c r="A1281" s="74" t="s">
        <v>3268</v>
      </c>
      <c r="B1281" s="74">
        <v>6653</v>
      </c>
      <c r="C1281" t="e">
        <f>VLOOKUP(B1281,'Waste Lookups'!$B$1:$C$292,2,FALSE)</f>
        <v>#N/A</v>
      </c>
      <c r="D1281" s="84">
        <v>19.636363636363637</v>
      </c>
      <c r="E1281" s="84">
        <v>581.59636363636366</v>
      </c>
      <c r="F1281" s="84">
        <v>40.058181818181815</v>
      </c>
      <c r="G1281" s="84">
        <v>85.090909090909093</v>
      </c>
      <c r="H1281" s="84">
        <v>85.090909090909093</v>
      </c>
      <c r="I1281" s="84"/>
      <c r="J1281" s="84">
        <v>30.743375680580762</v>
      </c>
      <c r="K1281" s="84">
        <v>910.56754869933445</v>
      </c>
      <c r="L1281" s="84">
        <v>62.716486388384752</v>
      </c>
      <c r="M1281" s="84">
        <v>133.22129461584996</v>
      </c>
      <c r="N1281" s="84">
        <v>133.22129461584996</v>
      </c>
    </row>
    <row r="1282" spans="1:14" x14ac:dyDescent="0.25">
      <c r="A1282" s="74" t="s">
        <v>3270</v>
      </c>
      <c r="B1282" s="74">
        <v>6654</v>
      </c>
      <c r="C1282" t="e">
        <f>VLOOKUP(B1282,'Waste Lookups'!$B$1:$C$292,2,FALSE)</f>
        <v>#N/A</v>
      </c>
      <c r="D1282" s="84">
        <v>0</v>
      </c>
      <c r="E1282" s="84">
        <v>12.665454545454544</v>
      </c>
      <c r="F1282" s="84">
        <v>59.694545454545455</v>
      </c>
      <c r="G1282" s="84">
        <v>32.541818181818179</v>
      </c>
      <c r="H1282" s="84">
        <v>4.2109090909090909</v>
      </c>
      <c r="I1282" s="84"/>
      <c r="J1282" s="84">
        <v>0</v>
      </c>
      <c r="K1282" s="84">
        <v>7.637852429514095</v>
      </c>
      <c r="L1282" s="84">
        <v>35.998560287942411</v>
      </c>
      <c r="M1282" s="84">
        <v>19.624215156968599</v>
      </c>
      <c r="N1282" s="84">
        <v>2.5393721255748845</v>
      </c>
    </row>
    <row r="1283" spans="1:14" x14ac:dyDescent="0.25">
      <c r="A1283" s="74" t="s">
        <v>3272</v>
      </c>
      <c r="B1283" s="74">
        <v>6656</v>
      </c>
      <c r="C1283" t="e">
        <f>VLOOKUP(B1283,'Waste Lookups'!$B$1:$C$292,2,FALSE)</f>
        <v>#N/A</v>
      </c>
      <c r="D1283" s="84">
        <v>0</v>
      </c>
      <c r="E1283" s="84">
        <v>293.94545454545454</v>
      </c>
      <c r="F1283" s="84">
        <v>0</v>
      </c>
      <c r="G1283" s="84">
        <v>42.545454545454547</v>
      </c>
      <c r="H1283" s="84">
        <v>42.545454545454547</v>
      </c>
      <c r="I1283" s="84"/>
      <c r="J1283" s="84">
        <v>0</v>
      </c>
      <c r="K1283" s="84">
        <v>395.9352352856526</v>
      </c>
      <c r="L1283" s="84">
        <v>0</v>
      </c>
      <c r="M1283" s="84">
        <v>57.307382357173694</v>
      </c>
      <c r="N1283" s="84">
        <v>57.307382357173694</v>
      </c>
    </row>
    <row r="1284" spans="1:14" x14ac:dyDescent="0.25">
      <c r="A1284" s="74" t="s">
        <v>3274</v>
      </c>
      <c r="B1284" s="74">
        <v>6657</v>
      </c>
      <c r="C1284" t="e">
        <f>VLOOKUP(B1284,'Waste Lookups'!$B$1:$C$292,2,FALSE)</f>
        <v>#N/A</v>
      </c>
      <c r="D1284" s="84">
        <v>0</v>
      </c>
      <c r="E1284" s="84">
        <v>289.42909090909092</v>
      </c>
      <c r="F1284" s="84">
        <v>59.694545454545455</v>
      </c>
      <c r="G1284" s="84">
        <v>42.545454545454547</v>
      </c>
      <c r="H1284" s="84">
        <v>42.545454545454547</v>
      </c>
      <c r="I1284" s="84"/>
      <c r="J1284" s="84">
        <v>0</v>
      </c>
      <c r="K1284" s="84">
        <v>373.46566816571612</v>
      </c>
      <c r="L1284" s="84">
        <v>77.027030123357534</v>
      </c>
      <c r="M1284" s="84">
        <v>54.898650855463153</v>
      </c>
      <c r="N1284" s="84">
        <v>54.898650855463153</v>
      </c>
    </row>
    <row r="1285" spans="1:14" x14ac:dyDescent="0.25">
      <c r="A1285" s="74" t="s">
        <v>3276</v>
      </c>
      <c r="B1285" s="74">
        <v>6659</v>
      </c>
      <c r="C1285" t="e">
        <f>VLOOKUP(B1285,'Waste Lookups'!$B$1:$C$292,2,FALSE)</f>
        <v>#N/A</v>
      </c>
      <c r="D1285" s="84">
        <v>0</v>
      </c>
      <c r="E1285" s="84">
        <v>585.32727272727266</v>
      </c>
      <c r="F1285" s="84">
        <v>256.05818181818182</v>
      </c>
      <c r="G1285" s="84">
        <v>117.63272727272727</v>
      </c>
      <c r="H1285" s="84">
        <v>89.301818181818177</v>
      </c>
      <c r="I1285" s="84"/>
      <c r="J1285" s="84">
        <v>0</v>
      </c>
      <c r="K1285" s="84">
        <v>611.80413024475524</v>
      </c>
      <c r="L1285" s="84">
        <v>267.64078921078925</v>
      </c>
      <c r="M1285" s="84">
        <v>122.95375894938395</v>
      </c>
      <c r="N1285" s="84">
        <v>93.341321595071591</v>
      </c>
    </row>
    <row r="1286" spans="1:14" x14ac:dyDescent="0.25">
      <c r="A1286" s="74" t="s">
        <v>3278</v>
      </c>
      <c r="B1286" s="74">
        <v>6660</v>
      </c>
      <c r="C1286" t="e">
        <f>VLOOKUP(B1286,'Waste Lookups'!$B$1:$C$292,2,FALSE)</f>
        <v>#N/A</v>
      </c>
      <c r="D1286" s="84">
        <v>0</v>
      </c>
      <c r="E1286" s="84">
        <v>1702.090909090909</v>
      </c>
      <c r="F1286" s="84">
        <v>0</v>
      </c>
      <c r="G1286" s="84">
        <v>202.72363636363639</v>
      </c>
      <c r="H1286" s="84">
        <v>174.40363636363637</v>
      </c>
      <c r="I1286" s="84"/>
      <c r="J1286" s="84">
        <v>0</v>
      </c>
      <c r="K1286" s="84">
        <v>1681.7169298774888</v>
      </c>
      <c r="L1286" s="84">
        <v>0</v>
      </c>
      <c r="M1286" s="84">
        <v>200.29704026863249</v>
      </c>
      <c r="N1286" s="84">
        <v>172.31602985387866</v>
      </c>
    </row>
    <row r="1287" spans="1:14" x14ac:dyDescent="0.25">
      <c r="A1287" s="74" t="s">
        <v>804</v>
      </c>
      <c r="B1287" s="74">
        <v>7000</v>
      </c>
      <c r="C1287" t="str">
        <f>VLOOKUP(B1287,'Waste Lookups'!$B$1:$C$292,2,FALSE)</f>
        <v>Barking Community Hospital</v>
      </c>
      <c r="D1287" s="84">
        <v>8171.050909090909</v>
      </c>
      <c r="E1287" s="84">
        <v>8822.749090909092</v>
      </c>
      <c r="F1287" s="84">
        <v>0</v>
      </c>
      <c r="G1287" s="84">
        <v>2331.9163636363637</v>
      </c>
      <c r="H1287" s="84">
        <v>0</v>
      </c>
      <c r="I1287" s="84"/>
      <c r="J1287" s="84">
        <v>4753.9843153014008</v>
      </c>
      <c r="K1287" s="84">
        <v>5133.1476529361162</v>
      </c>
      <c r="L1287" s="84">
        <v>0</v>
      </c>
      <c r="M1287" s="84">
        <v>1356.7280317624825</v>
      </c>
      <c r="N1287" s="84">
        <v>0</v>
      </c>
    </row>
    <row r="1288" spans="1:14" x14ac:dyDescent="0.25">
      <c r="A1288" s="74" t="s">
        <v>3281</v>
      </c>
      <c r="B1288" s="74">
        <v>7001</v>
      </c>
      <c r="C1288" t="e">
        <f>VLOOKUP(B1288,'Waste Lookups'!$B$1:$C$292,2,FALSE)</f>
        <v>#N/A</v>
      </c>
      <c r="D1288" s="84">
        <v>395.72727272727275</v>
      </c>
      <c r="E1288" s="84">
        <v>933.56727272727267</v>
      </c>
      <c r="F1288" s="84">
        <v>0</v>
      </c>
      <c r="G1288" s="84">
        <v>79.265454545454546</v>
      </c>
      <c r="H1288" s="84">
        <v>0</v>
      </c>
      <c r="I1288" s="84"/>
      <c r="J1288" s="84">
        <v>249.25401570656302</v>
      </c>
      <c r="K1288" s="84">
        <v>588.01959757740985</v>
      </c>
      <c r="L1288" s="84">
        <v>0</v>
      </c>
      <c r="M1288" s="84">
        <v>49.92638671602721</v>
      </c>
      <c r="N1288" s="84">
        <v>0</v>
      </c>
    </row>
    <row r="1289" spans="1:14" x14ac:dyDescent="0.25">
      <c r="A1289" s="74" t="s">
        <v>3283</v>
      </c>
      <c r="B1289" s="74">
        <v>7003</v>
      </c>
      <c r="C1289" t="e">
        <f>VLOOKUP(B1289,'Waste Lookups'!$B$1:$C$292,2,FALSE)</f>
        <v>#N/A</v>
      </c>
      <c r="D1289" s="84">
        <v>873.40363636363634</v>
      </c>
      <c r="E1289" s="84">
        <v>0</v>
      </c>
      <c r="F1289" s="84">
        <v>0</v>
      </c>
      <c r="G1289" s="84">
        <v>0</v>
      </c>
      <c r="H1289" s="84">
        <v>0</v>
      </c>
      <c r="I1289" s="84"/>
      <c r="J1289" s="84">
        <v>1066.02</v>
      </c>
      <c r="K1289" s="84">
        <v>0</v>
      </c>
      <c r="L1289" s="84">
        <v>0</v>
      </c>
      <c r="M1289" s="84">
        <v>0</v>
      </c>
      <c r="N1289" s="84">
        <v>0</v>
      </c>
    </row>
    <row r="1290" spans="1:14" x14ac:dyDescent="0.25">
      <c r="A1290" s="74" t="s">
        <v>3285</v>
      </c>
      <c r="B1290" s="74">
        <v>7005</v>
      </c>
      <c r="C1290" t="e">
        <f>VLOOKUP(B1290,'Waste Lookups'!$B$1:$C$292,2,FALSE)</f>
        <v>#N/A</v>
      </c>
      <c r="D1290" s="84">
        <v>497.23636363636365</v>
      </c>
      <c r="E1290" s="84">
        <v>1386.1636363636364</v>
      </c>
      <c r="F1290" s="84">
        <v>0</v>
      </c>
      <c r="G1290" s="84">
        <v>711.29454545454541</v>
      </c>
      <c r="H1290" s="84">
        <v>0</v>
      </c>
      <c r="I1290" s="84"/>
      <c r="J1290" s="84">
        <v>360.84829407139881</v>
      </c>
      <c r="K1290" s="84">
        <v>1005.949725453758</v>
      </c>
      <c r="L1290" s="84">
        <v>0</v>
      </c>
      <c r="M1290" s="84">
        <v>516.19198047484304</v>
      </c>
      <c r="N1290" s="84">
        <v>0</v>
      </c>
    </row>
    <row r="1291" spans="1:14" x14ac:dyDescent="0.25">
      <c r="A1291" s="74" t="s">
        <v>3287</v>
      </c>
      <c r="B1291" s="74">
        <v>7006</v>
      </c>
      <c r="C1291" t="e">
        <f>VLOOKUP(B1291,'Waste Lookups'!$B$1:$C$292,2,FALSE)</f>
        <v>#N/A</v>
      </c>
      <c r="D1291" s="84">
        <v>0</v>
      </c>
      <c r="E1291" s="84">
        <v>0</v>
      </c>
      <c r="F1291" s="84">
        <v>0</v>
      </c>
      <c r="G1291" s="84">
        <v>5.3563636363636364</v>
      </c>
      <c r="H1291" s="84">
        <v>0</v>
      </c>
      <c r="I1291" s="84"/>
      <c r="J1291" s="84">
        <v>0</v>
      </c>
      <c r="K1291" s="84">
        <v>0</v>
      </c>
      <c r="L1291" s="84">
        <v>0</v>
      </c>
      <c r="M1291" s="84">
        <v>247.46</v>
      </c>
      <c r="N1291" s="84">
        <v>0</v>
      </c>
    </row>
    <row r="1292" spans="1:14" x14ac:dyDescent="0.25">
      <c r="A1292" s="74" t="s">
        <v>3289</v>
      </c>
      <c r="B1292" s="74">
        <v>7007</v>
      </c>
      <c r="C1292" t="e">
        <f>VLOOKUP(B1292,'Waste Lookups'!$B$1:$C$292,2,FALSE)</f>
        <v>#N/A</v>
      </c>
      <c r="D1292" s="84">
        <v>501.27272727272725</v>
      </c>
      <c r="E1292" s="84">
        <v>1373.4327272727273</v>
      </c>
      <c r="F1292" s="84">
        <v>0</v>
      </c>
      <c r="G1292" s="84">
        <v>2077.3527272727274</v>
      </c>
      <c r="H1292" s="84">
        <v>0</v>
      </c>
      <c r="I1292" s="84"/>
      <c r="J1292" s="84">
        <v>202.59136229131701</v>
      </c>
      <c r="K1292" s="84">
        <v>555.07828791626184</v>
      </c>
      <c r="L1292" s="84">
        <v>0</v>
      </c>
      <c r="M1292" s="84">
        <v>839.57034979242121</v>
      </c>
      <c r="N1292" s="84">
        <v>0</v>
      </c>
    </row>
    <row r="1293" spans="1:14" x14ac:dyDescent="0.25">
      <c r="A1293" s="74" t="s">
        <v>3291</v>
      </c>
      <c r="B1293" s="74">
        <v>7008</v>
      </c>
      <c r="C1293" t="e">
        <f>VLOOKUP(B1293,'Waste Lookups'!$B$1:$C$292,2,FALSE)</f>
        <v>#N/A</v>
      </c>
      <c r="D1293" s="84">
        <v>630.26181818181817</v>
      </c>
      <c r="E1293" s="84">
        <v>0</v>
      </c>
      <c r="F1293" s="84">
        <v>0</v>
      </c>
      <c r="G1293" s="84">
        <v>0</v>
      </c>
      <c r="H1293" s="84">
        <v>0</v>
      </c>
      <c r="I1293" s="84"/>
      <c r="J1293" s="84">
        <v>722.95</v>
      </c>
      <c r="K1293" s="84">
        <v>0</v>
      </c>
      <c r="L1293" s="84">
        <v>0</v>
      </c>
      <c r="M1293" s="84">
        <v>0</v>
      </c>
      <c r="N1293" s="84">
        <v>0</v>
      </c>
    </row>
    <row r="1294" spans="1:14" x14ac:dyDescent="0.25">
      <c r="A1294" s="74" t="s">
        <v>3293</v>
      </c>
      <c r="B1294" s="74">
        <v>7011</v>
      </c>
      <c r="C1294" t="e">
        <f>VLOOKUP(B1294,'Waste Lookups'!$B$1:$C$292,2,FALSE)</f>
        <v>#N/A</v>
      </c>
      <c r="D1294" s="84">
        <v>1982.2909090909091</v>
      </c>
      <c r="E1294" s="84">
        <v>165.90545454545455</v>
      </c>
      <c r="F1294" s="84">
        <v>0</v>
      </c>
      <c r="G1294" s="84">
        <v>594.57818181818175</v>
      </c>
      <c r="H1294" s="84">
        <v>0</v>
      </c>
      <c r="I1294" s="84"/>
      <c r="J1294" s="84">
        <v>1719.7118641640916</v>
      </c>
      <c r="K1294" s="84">
        <v>143.92921705028618</v>
      </c>
      <c r="L1294" s="84">
        <v>0</v>
      </c>
      <c r="M1294" s="84">
        <v>515.8189187856226</v>
      </c>
      <c r="N1294" s="84">
        <v>0</v>
      </c>
    </row>
    <row r="1295" spans="1:14" x14ac:dyDescent="0.25">
      <c r="A1295" s="74" t="s">
        <v>3295</v>
      </c>
      <c r="B1295" s="74">
        <v>7012</v>
      </c>
      <c r="C1295" t="e">
        <f>VLOOKUP(B1295,'Waste Lookups'!$B$1:$C$292,2,FALSE)</f>
        <v>#N/A</v>
      </c>
      <c r="D1295" s="84">
        <v>739.65818181818179</v>
      </c>
      <c r="E1295" s="84">
        <v>2530.6036363636363</v>
      </c>
      <c r="F1295" s="84">
        <v>0</v>
      </c>
      <c r="G1295" s="84">
        <v>2152.9636363636364</v>
      </c>
      <c r="H1295" s="84">
        <v>0</v>
      </c>
      <c r="I1295" s="84"/>
      <c r="J1295" s="84">
        <v>537.25620191137511</v>
      </c>
      <c r="K1295" s="84">
        <v>1838.1227053742589</v>
      </c>
      <c r="L1295" s="84">
        <v>0</v>
      </c>
      <c r="M1295" s="84">
        <v>1563.8210927143659</v>
      </c>
      <c r="N1295" s="84">
        <v>0</v>
      </c>
    </row>
    <row r="1296" spans="1:14" x14ac:dyDescent="0.25">
      <c r="A1296" s="74" t="s">
        <v>3297</v>
      </c>
      <c r="B1296" s="74">
        <v>7026</v>
      </c>
      <c r="C1296" t="e">
        <f>VLOOKUP(B1296,'Waste Lookups'!$B$1:$C$292,2,FALSE)</f>
        <v>#N/A</v>
      </c>
      <c r="D1296" s="84">
        <v>0</v>
      </c>
      <c r="E1296" s="84">
        <v>0</v>
      </c>
      <c r="F1296" s="84">
        <v>65.552727272727282</v>
      </c>
      <c r="G1296" s="84">
        <v>413.37818181818182</v>
      </c>
      <c r="H1296" s="84">
        <v>0</v>
      </c>
      <c r="I1296" s="84"/>
      <c r="J1296" s="84">
        <v>0</v>
      </c>
      <c r="K1296" s="84">
        <v>0</v>
      </c>
      <c r="L1296" s="84">
        <v>960.60781194478614</v>
      </c>
      <c r="M1296" s="84">
        <v>6057.6321880552132</v>
      </c>
      <c r="N1296" s="84">
        <v>0</v>
      </c>
    </row>
    <row r="1297" spans="1:14" x14ac:dyDescent="0.25">
      <c r="A1297" s="74" t="s">
        <v>3299</v>
      </c>
      <c r="B1297" s="74">
        <v>7028</v>
      </c>
      <c r="C1297" t="e">
        <f>VLOOKUP(B1297,'Waste Lookups'!$B$1:$C$292,2,FALSE)</f>
        <v>#N/A</v>
      </c>
      <c r="D1297" s="84">
        <v>0</v>
      </c>
      <c r="E1297" s="84">
        <v>0</v>
      </c>
      <c r="F1297" s="84">
        <v>35.236363636363635</v>
      </c>
      <c r="G1297" s="84">
        <v>2079.2400000000002</v>
      </c>
      <c r="H1297" s="84">
        <v>0</v>
      </c>
      <c r="I1297" s="84"/>
      <c r="J1297" s="84">
        <v>0</v>
      </c>
      <c r="K1297" s="84">
        <v>0</v>
      </c>
      <c r="L1297" s="84">
        <v>113.31754605911456</v>
      </c>
      <c r="M1297" s="84">
        <v>6686.6824539408863</v>
      </c>
      <c r="N1297" s="84">
        <v>0</v>
      </c>
    </row>
    <row r="1298" spans="1:14" x14ac:dyDescent="0.25">
      <c r="A1298" s="74" t="s">
        <v>3301</v>
      </c>
      <c r="B1298" s="74">
        <v>7029</v>
      </c>
      <c r="C1298" t="e">
        <f>VLOOKUP(B1298,'Waste Lookups'!$B$1:$C$292,2,FALSE)</f>
        <v>#N/A</v>
      </c>
      <c r="D1298" s="84">
        <v>42.425454545454549</v>
      </c>
      <c r="E1298" s="84">
        <v>0</v>
      </c>
      <c r="F1298" s="84">
        <v>0</v>
      </c>
      <c r="G1298" s="84">
        <v>0</v>
      </c>
      <c r="H1298" s="84">
        <v>0</v>
      </c>
      <c r="I1298" s="84"/>
      <c r="J1298" s="84">
        <v>6200</v>
      </c>
      <c r="K1298" s="84">
        <v>0</v>
      </c>
      <c r="L1298" s="84">
        <v>0</v>
      </c>
      <c r="M1298" s="84">
        <v>0</v>
      </c>
      <c r="N1298" s="84">
        <v>0</v>
      </c>
    </row>
    <row r="1299" spans="1:14" x14ac:dyDescent="0.25">
      <c r="A1299" s="74" t="s">
        <v>718</v>
      </c>
      <c r="B1299" s="74">
        <v>7030</v>
      </c>
      <c r="C1299" t="str">
        <f>VLOOKUP(B1299,'Waste Lookups'!$B$1:$C$292,2,FALSE)</f>
        <v>Edgware Community Hospital</v>
      </c>
      <c r="D1299" s="84">
        <v>39474.720000000001</v>
      </c>
      <c r="E1299" s="84">
        <v>104083.02545454545</v>
      </c>
      <c r="F1299" s="84">
        <v>0</v>
      </c>
      <c r="G1299" s="84">
        <v>0</v>
      </c>
      <c r="H1299" s="84">
        <v>0</v>
      </c>
      <c r="I1299" s="84"/>
      <c r="J1299" s="84">
        <v>25718.601933799717</v>
      </c>
      <c r="K1299" s="84">
        <v>67812.258066200273</v>
      </c>
      <c r="L1299" s="84">
        <v>0</v>
      </c>
      <c r="M1299" s="84">
        <v>0</v>
      </c>
      <c r="N1299" s="84">
        <v>0</v>
      </c>
    </row>
    <row r="1300" spans="1:14" x14ac:dyDescent="0.25">
      <c r="A1300" s="74" t="s">
        <v>3304</v>
      </c>
      <c r="B1300" s="74">
        <v>7031</v>
      </c>
      <c r="C1300" t="e">
        <f>VLOOKUP(B1300,'Waste Lookups'!$B$1:$C$292,2,FALSE)</f>
        <v>#N/A</v>
      </c>
      <c r="D1300" s="84">
        <v>1786.9527272727273</v>
      </c>
      <c r="E1300" s="84">
        <v>781.46181818181822</v>
      </c>
      <c r="F1300" s="84">
        <v>0</v>
      </c>
      <c r="G1300" s="84">
        <v>98.847272727272724</v>
      </c>
      <c r="H1300" s="84">
        <v>0</v>
      </c>
      <c r="I1300" s="84"/>
      <c r="J1300" s="84">
        <v>3818.7591769291489</v>
      </c>
      <c r="K1300" s="84">
        <v>1670.0019222982507</v>
      </c>
      <c r="L1300" s="84">
        <v>0</v>
      </c>
      <c r="M1300" s="84">
        <v>211.23890077260026</v>
      </c>
      <c r="N1300" s="84">
        <v>0</v>
      </c>
    </row>
    <row r="1301" spans="1:14" x14ac:dyDescent="0.25">
      <c r="A1301" s="74" t="s">
        <v>3306</v>
      </c>
      <c r="B1301" s="74">
        <v>7032</v>
      </c>
      <c r="C1301" t="e">
        <f>VLOOKUP(B1301,'Waste Lookups'!$B$1:$C$292,2,FALSE)</f>
        <v>#N/A</v>
      </c>
      <c r="D1301" s="84">
        <v>0</v>
      </c>
      <c r="E1301" s="84">
        <v>1229.0945454545456</v>
      </c>
      <c r="F1301" s="84">
        <v>213.56727272727272</v>
      </c>
      <c r="G1301" s="84">
        <v>232.95272727272726</v>
      </c>
      <c r="H1301" s="84">
        <v>0</v>
      </c>
      <c r="I1301" s="84"/>
      <c r="J1301" s="84">
        <v>0</v>
      </c>
      <c r="K1301" s="84">
        <v>1467.0373312152503</v>
      </c>
      <c r="L1301" s="84">
        <v>254.9121733355903</v>
      </c>
      <c r="M1301" s="84">
        <v>278.05049544915943</v>
      </c>
      <c r="N1301" s="84">
        <v>0</v>
      </c>
    </row>
    <row r="1302" spans="1:14" x14ac:dyDescent="0.25">
      <c r="A1302" s="74" t="s">
        <v>3308</v>
      </c>
      <c r="B1302" s="74">
        <v>7033</v>
      </c>
      <c r="C1302" t="e">
        <f>VLOOKUP(B1302,'Waste Lookups'!$B$1:$C$292,2,FALSE)</f>
        <v>#N/A</v>
      </c>
      <c r="D1302" s="84">
        <v>0</v>
      </c>
      <c r="E1302" s="84">
        <v>2670.9054545454546</v>
      </c>
      <c r="F1302" s="84">
        <v>212.00727272727272</v>
      </c>
      <c r="G1302" s="84">
        <v>511.18909090909085</v>
      </c>
      <c r="H1302" s="84">
        <v>0</v>
      </c>
      <c r="I1302" s="84"/>
      <c r="J1302" s="84">
        <v>0</v>
      </c>
      <c r="K1302" s="84">
        <v>5351.0937690839082</v>
      </c>
      <c r="L1302" s="84">
        <v>424.75138689791277</v>
      </c>
      <c r="M1302" s="84">
        <v>1024.1548440181789</v>
      </c>
      <c r="N1302" s="84">
        <v>0</v>
      </c>
    </row>
    <row r="1303" spans="1:14" x14ac:dyDescent="0.25">
      <c r="A1303" s="74" t="s">
        <v>3310</v>
      </c>
      <c r="B1303" s="74">
        <v>7034</v>
      </c>
      <c r="C1303" t="e">
        <f>VLOOKUP(B1303,'Waste Lookups'!$B$1:$C$292,2,FALSE)</f>
        <v>#N/A</v>
      </c>
      <c r="D1303" s="84">
        <v>0</v>
      </c>
      <c r="E1303" s="84">
        <v>3734.1927272727271</v>
      </c>
      <c r="F1303" s="84">
        <v>231.80727272727273</v>
      </c>
      <c r="G1303" s="84">
        <v>947.23636363636365</v>
      </c>
      <c r="H1303" s="84">
        <v>0</v>
      </c>
      <c r="I1303" s="84"/>
      <c r="J1303" s="84">
        <v>0</v>
      </c>
      <c r="K1303" s="84">
        <v>6688.2383764820825</v>
      </c>
      <c r="L1303" s="84">
        <v>415.18539899640308</v>
      </c>
      <c r="M1303" s="84">
        <v>1696.5762245215153</v>
      </c>
      <c r="N1303" s="84">
        <v>0</v>
      </c>
    </row>
    <row r="1304" spans="1:14" x14ac:dyDescent="0.25">
      <c r="A1304" s="74" t="s">
        <v>3312</v>
      </c>
      <c r="B1304" s="74">
        <v>7048</v>
      </c>
      <c r="C1304" t="e">
        <f>VLOOKUP(B1304,'Waste Lookups'!$B$1:$C$292,2,FALSE)</f>
        <v>#N/A</v>
      </c>
      <c r="D1304" s="84">
        <v>1011.3709090909091</v>
      </c>
      <c r="E1304" s="84">
        <v>845.02909090909088</v>
      </c>
      <c r="F1304" s="84">
        <v>152.96727272727273</v>
      </c>
      <c r="G1304" s="84">
        <v>809.74909090909091</v>
      </c>
      <c r="H1304" s="84">
        <v>0</v>
      </c>
      <c r="I1304" s="84"/>
      <c r="J1304" s="84">
        <v>2030.0450830240814</v>
      </c>
      <c r="K1304" s="84">
        <v>1696.1602668147468</v>
      </c>
      <c r="L1304" s="84">
        <v>307.03914565105509</v>
      </c>
      <c r="M1304" s="84">
        <v>1625.3455045101175</v>
      </c>
      <c r="N1304" s="84">
        <v>0</v>
      </c>
    </row>
    <row r="1305" spans="1:14" x14ac:dyDescent="0.25">
      <c r="A1305" s="74" t="s">
        <v>3314</v>
      </c>
      <c r="B1305" s="74">
        <v>7049</v>
      </c>
      <c r="C1305" t="e">
        <f>VLOOKUP(B1305,'Waste Lookups'!$B$1:$C$292,2,FALSE)</f>
        <v>#N/A</v>
      </c>
      <c r="D1305" s="84">
        <v>193.44</v>
      </c>
      <c r="E1305" s="84">
        <v>1297.1672727272726</v>
      </c>
      <c r="F1305" s="84">
        <v>23.563636363636366</v>
      </c>
      <c r="G1305" s="84">
        <v>681.50181818181818</v>
      </c>
      <c r="H1305" s="84">
        <v>0</v>
      </c>
      <c r="I1305" s="84"/>
      <c r="J1305" s="84">
        <v>261.75293506235408</v>
      </c>
      <c r="K1305" s="84">
        <v>1755.2592064887963</v>
      </c>
      <c r="L1305" s="84">
        <v>31.885085705768375</v>
      </c>
      <c r="M1305" s="84">
        <v>922.17277274308162</v>
      </c>
      <c r="N1305" s="84">
        <v>0</v>
      </c>
    </row>
    <row r="1306" spans="1:14" x14ac:dyDescent="0.25">
      <c r="A1306" s="74" t="s">
        <v>3316</v>
      </c>
      <c r="B1306" s="74">
        <v>7052</v>
      </c>
      <c r="C1306" t="e">
        <f>VLOOKUP(B1306,'Waste Lookups'!$B$1:$C$292,2,FALSE)</f>
        <v>#N/A</v>
      </c>
      <c r="D1306" s="84">
        <v>736.58181818181822</v>
      </c>
      <c r="E1306" s="84">
        <v>599.23636363636354</v>
      </c>
      <c r="F1306" s="84">
        <v>97.407272727272726</v>
      </c>
      <c r="G1306" s="84">
        <v>369.41454545454548</v>
      </c>
      <c r="H1306" s="84">
        <v>0</v>
      </c>
      <c r="I1306" s="84"/>
      <c r="J1306" s="84">
        <v>1838.868026288716</v>
      </c>
      <c r="K1306" s="84">
        <v>1495.9866807470255</v>
      </c>
      <c r="L1306" s="84">
        <v>243.17613457837598</v>
      </c>
      <c r="M1306" s="84">
        <v>922.23915838588266</v>
      </c>
      <c r="N1306" s="84">
        <v>0</v>
      </c>
    </row>
    <row r="1307" spans="1:14" x14ac:dyDescent="0.25">
      <c r="A1307" s="74" t="s">
        <v>3318</v>
      </c>
      <c r="B1307" s="74">
        <v>7053</v>
      </c>
      <c r="C1307" t="e">
        <f>VLOOKUP(B1307,'Waste Lookups'!$B$1:$C$292,2,FALSE)</f>
        <v>#N/A</v>
      </c>
      <c r="D1307" s="84">
        <v>0</v>
      </c>
      <c r="E1307" s="84">
        <v>0</v>
      </c>
      <c r="F1307" s="84">
        <v>19.636363636363637</v>
      </c>
      <c r="G1307" s="84">
        <v>0</v>
      </c>
      <c r="H1307" s="84">
        <v>0</v>
      </c>
      <c r="I1307" s="84"/>
      <c r="J1307" s="84">
        <v>0</v>
      </c>
      <c r="K1307" s="84">
        <v>0</v>
      </c>
      <c r="L1307" s="84">
        <v>465.40999999999997</v>
      </c>
      <c r="M1307" s="84">
        <v>0</v>
      </c>
      <c r="N1307" s="84">
        <v>0</v>
      </c>
    </row>
    <row r="1308" spans="1:14" x14ac:dyDescent="0.25">
      <c r="A1308" s="74" t="s">
        <v>805</v>
      </c>
      <c r="B1308" s="74">
        <v>7054</v>
      </c>
      <c r="C1308" t="str">
        <f>VLOOKUP(B1308,'Waste Lookups'!$B$1:$C$292,2,FALSE)</f>
        <v>Wembley Centre for Health &amp; Care</v>
      </c>
      <c r="D1308" s="84">
        <v>5211.0872727272726</v>
      </c>
      <c r="E1308" s="84">
        <v>13543.832727272729</v>
      </c>
      <c r="F1308" s="84">
        <v>247.25454545454545</v>
      </c>
      <c r="G1308" s="84">
        <v>3341.6181818181822</v>
      </c>
      <c r="H1308" s="84">
        <v>0</v>
      </c>
      <c r="I1308" s="84"/>
      <c r="J1308" s="84">
        <v>7281.2816253788096</v>
      </c>
      <c r="K1308" s="84">
        <v>18924.354019249273</v>
      </c>
      <c r="L1308" s="84">
        <v>345.48068078455947</v>
      </c>
      <c r="M1308" s="84">
        <v>4669.1336745873523</v>
      </c>
      <c r="N1308" s="84">
        <v>0</v>
      </c>
    </row>
    <row r="1309" spans="1:14" x14ac:dyDescent="0.25">
      <c r="A1309" s="74" t="s">
        <v>3321</v>
      </c>
      <c r="B1309" s="74">
        <v>7055</v>
      </c>
      <c r="C1309" t="e">
        <f>VLOOKUP(B1309,'Waste Lookups'!$B$1:$C$292,2,FALSE)</f>
        <v>#N/A</v>
      </c>
      <c r="D1309" s="84">
        <v>2917.0363636363636</v>
      </c>
      <c r="E1309" s="84">
        <v>0</v>
      </c>
      <c r="F1309" s="84">
        <v>287.35636363636365</v>
      </c>
      <c r="G1309" s="84">
        <v>6526.2872727272734</v>
      </c>
      <c r="H1309" s="84">
        <v>7855.2218181818189</v>
      </c>
      <c r="I1309" s="84"/>
      <c r="J1309" s="84">
        <v>2788.9103382916442</v>
      </c>
      <c r="K1309" s="84">
        <v>0</v>
      </c>
      <c r="L1309" s="84">
        <v>274.73470790755329</v>
      </c>
      <c r="M1309" s="84">
        <v>6239.6308364427477</v>
      </c>
      <c r="N1309" s="84">
        <v>7510.194117358059</v>
      </c>
    </row>
    <row r="1310" spans="1:14" x14ac:dyDescent="0.25">
      <c r="A1310" s="74" t="s">
        <v>3323</v>
      </c>
      <c r="B1310" s="74">
        <v>7066</v>
      </c>
      <c r="C1310" t="e">
        <f>VLOOKUP(B1310,'Waste Lookups'!$B$1:$C$292,2,FALSE)</f>
        <v>#N/A</v>
      </c>
      <c r="D1310" s="84">
        <v>278.32363636363635</v>
      </c>
      <c r="E1310" s="84">
        <v>1.090909090909091E-2</v>
      </c>
      <c r="F1310" s="84">
        <v>0</v>
      </c>
      <c r="G1310" s="84">
        <v>0</v>
      </c>
      <c r="H1310" s="84">
        <v>0</v>
      </c>
      <c r="I1310" s="84"/>
      <c r="J1310" s="84">
        <v>470.70155052128251</v>
      </c>
      <c r="K1310" s="84">
        <v>1.8449478717566831E-2</v>
      </c>
      <c r="L1310" s="84">
        <v>0</v>
      </c>
      <c r="M1310" s="84">
        <v>0</v>
      </c>
      <c r="N1310" s="84">
        <v>0</v>
      </c>
    </row>
    <row r="1311" spans="1:14" x14ac:dyDescent="0.25">
      <c r="A1311" s="74" t="s">
        <v>3325</v>
      </c>
      <c r="B1311" s="74">
        <v>7067</v>
      </c>
      <c r="C1311" t="e">
        <f>VLOOKUP(B1311,'Waste Lookups'!$B$1:$C$292,2,FALSE)</f>
        <v>#N/A</v>
      </c>
      <c r="D1311" s="84">
        <v>0</v>
      </c>
      <c r="E1311" s="84">
        <v>39.381818181818183</v>
      </c>
      <c r="F1311" s="84">
        <v>0</v>
      </c>
      <c r="G1311" s="84">
        <v>0</v>
      </c>
      <c r="H1311" s="84">
        <v>0</v>
      </c>
      <c r="I1311" s="84"/>
      <c r="J1311" s="84">
        <v>0</v>
      </c>
      <c r="K1311" s="84">
        <v>0</v>
      </c>
      <c r="L1311" s="84">
        <v>0</v>
      </c>
      <c r="M1311" s="84">
        <v>0</v>
      </c>
      <c r="N1311" s="84">
        <v>0</v>
      </c>
    </row>
    <row r="1312" spans="1:14" x14ac:dyDescent="0.25">
      <c r="A1312" s="74" t="s">
        <v>3327</v>
      </c>
      <c r="B1312" s="74">
        <v>7069</v>
      </c>
      <c r="C1312" t="e">
        <f>VLOOKUP(B1312,'Waste Lookups'!$B$1:$C$292,2,FALSE)</f>
        <v>#N/A</v>
      </c>
      <c r="D1312" s="84">
        <v>182.55272727272728</v>
      </c>
      <c r="E1312" s="84">
        <v>70.101818181818189</v>
      </c>
      <c r="F1312" s="84">
        <v>0</v>
      </c>
      <c r="G1312" s="84">
        <v>0</v>
      </c>
      <c r="H1312" s="84">
        <v>0</v>
      </c>
      <c r="I1312" s="84"/>
      <c r="J1312" s="84">
        <v>201.45828497409323</v>
      </c>
      <c r="K1312" s="84">
        <v>77.361715025906733</v>
      </c>
      <c r="L1312" s="84">
        <v>0</v>
      </c>
      <c r="M1312" s="84">
        <v>0</v>
      </c>
      <c r="N1312" s="84">
        <v>0</v>
      </c>
    </row>
    <row r="1313" spans="1:14" x14ac:dyDescent="0.25">
      <c r="A1313" s="74" t="s">
        <v>3329</v>
      </c>
      <c r="B1313" s="74">
        <v>7070</v>
      </c>
      <c r="C1313" t="e">
        <f>VLOOKUP(B1313,'Waste Lookups'!$B$1:$C$292,2,FALSE)</f>
        <v>#N/A</v>
      </c>
      <c r="D1313" s="84">
        <v>898.82181818181812</v>
      </c>
      <c r="E1313" s="84">
        <v>5290.7672727272729</v>
      </c>
      <c r="F1313" s="84">
        <v>0</v>
      </c>
      <c r="G1313" s="84">
        <v>0</v>
      </c>
      <c r="H1313" s="84">
        <v>0</v>
      </c>
      <c r="I1313" s="84"/>
      <c r="J1313" s="84">
        <v>1218.1630313423655</v>
      </c>
      <c r="K1313" s="84">
        <v>7170.5169686576346</v>
      </c>
      <c r="L1313" s="84">
        <v>0</v>
      </c>
      <c r="M1313" s="84">
        <v>0</v>
      </c>
      <c r="N1313" s="84">
        <v>0</v>
      </c>
    </row>
    <row r="1314" spans="1:14" x14ac:dyDescent="0.25">
      <c r="A1314" s="74" t="s">
        <v>801</v>
      </c>
      <c r="B1314" s="74">
        <v>7074</v>
      </c>
      <c r="C1314" t="str">
        <f>VLOOKUP(B1314,'Waste Lookups'!$B$1:$C$292,2,FALSE)</f>
        <v>Stephenson House (Drummond Street)</v>
      </c>
      <c r="D1314" s="84">
        <v>2603.4218181818178</v>
      </c>
      <c r="E1314" s="84">
        <v>0</v>
      </c>
      <c r="F1314" s="84">
        <v>0</v>
      </c>
      <c r="G1314" s="84">
        <v>0</v>
      </c>
      <c r="H1314" s="84">
        <v>0</v>
      </c>
      <c r="I1314" s="84"/>
      <c r="J1314" s="84">
        <v>2463.2600000000002</v>
      </c>
      <c r="K1314" s="84">
        <v>0</v>
      </c>
      <c r="L1314" s="84">
        <v>0</v>
      </c>
      <c r="M1314" s="84">
        <v>0</v>
      </c>
      <c r="N1314" s="84">
        <v>0</v>
      </c>
    </row>
    <row r="1315" spans="1:14" x14ac:dyDescent="0.25">
      <c r="A1315" s="74" t="s">
        <v>719</v>
      </c>
      <c r="B1315" s="74">
        <v>7075</v>
      </c>
      <c r="C1315" t="str">
        <f>VLOOKUP(B1315,'Waste Lookups'!$B$1:$C$292,2,FALSE)</f>
        <v>Stephenson House</v>
      </c>
      <c r="D1315" s="84">
        <v>237.58909090909088</v>
      </c>
      <c r="E1315" s="84">
        <v>246.77454545454549</v>
      </c>
      <c r="F1315" s="84">
        <v>0</v>
      </c>
      <c r="G1315" s="84">
        <v>0</v>
      </c>
      <c r="H1315" s="84">
        <v>0</v>
      </c>
      <c r="I1315" s="84"/>
      <c r="J1315" s="84">
        <v>3917.8949445945946</v>
      </c>
      <c r="K1315" s="84">
        <v>4069.3650554054057</v>
      </c>
      <c r="L1315" s="84">
        <v>0</v>
      </c>
      <c r="M1315" s="84">
        <v>0</v>
      </c>
      <c r="N1315" s="84">
        <v>0</v>
      </c>
    </row>
    <row r="1316" spans="1:14" x14ac:dyDescent="0.25">
      <c r="A1316" s="74" t="s">
        <v>3333</v>
      </c>
      <c r="B1316" s="74">
        <v>7082</v>
      </c>
      <c r="C1316" t="e">
        <f>VLOOKUP(B1316,'Waste Lookups'!$B$1:$C$292,2,FALSE)</f>
        <v>#N/A</v>
      </c>
      <c r="D1316" s="84">
        <v>134.59636363636363</v>
      </c>
      <c r="E1316" s="84">
        <v>95.301818181818177</v>
      </c>
      <c r="F1316" s="84">
        <v>0</v>
      </c>
      <c r="G1316" s="84">
        <v>0</v>
      </c>
      <c r="H1316" s="84">
        <v>0</v>
      </c>
      <c r="I1316" s="84"/>
      <c r="J1316" s="84">
        <v>19.033329220840848</v>
      </c>
      <c r="K1316" s="84">
        <v>13.476670779159154</v>
      </c>
      <c r="L1316" s="84">
        <v>0</v>
      </c>
      <c r="M1316" s="84">
        <v>0</v>
      </c>
      <c r="N1316" s="84">
        <v>0</v>
      </c>
    </row>
    <row r="1317" spans="1:14" x14ac:dyDescent="0.25">
      <c r="A1317" s="74" t="s">
        <v>3335</v>
      </c>
      <c r="B1317" s="74">
        <v>7098</v>
      </c>
      <c r="C1317" t="e">
        <f>VLOOKUP(B1317,'Waste Lookups'!$B$1:$C$292,2,FALSE)</f>
        <v>#N/A</v>
      </c>
      <c r="D1317" s="84">
        <v>441.50181818181818</v>
      </c>
      <c r="E1317" s="84">
        <v>1792.8654545454547</v>
      </c>
      <c r="F1317" s="84">
        <v>19.636363636363637</v>
      </c>
      <c r="G1317" s="84">
        <v>0</v>
      </c>
      <c r="H1317" s="84">
        <v>0</v>
      </c>
      <c r="I1317" s="84"/>
      <c r="J1317" s="84">
        <v>236.00917591485697</v>
      </c>
      <c r="K1317" s="84">
        <v>958.3940111413873</v>
      </c>
      <c r="L1317" s="84">
        <v>10.49681294375584</v>
      </c>
      <c r="M1317" s="84">
        <v>0</v>
      </c>
      <c r="N1317" s="84">
        <v>0</v>
      </c>
    </row>
    <row r="1318" spans="1:14" x14ac:dyDescent="0.25">
      <c r="A1318" s="74" t="s">
        <v>3337</v>
      </c>
      <c r="B1318" s="74">
        <v>7100</v>
      </c>
      <c r="C1318" t="e">
        <f>VLOOKUP(B1318,'Waste Lookups'!$B$1:$C$292,2,FALSE)</f>
        <v>#N/A</v>
      </c>
      <c r="D1318" s="84">
        <v>0</v>
      </c>
      <c r="E1318" s="84">
        <v>463.99636363636364</v>
      </c>
      <c r="F1318" s="84">
        <v>0</v>
      </c>
      <c r="G1318" s="84">
        <v>0</v>
      </c>
      <c r="H1318" s="84">
        <v>0</v>
      </c>
      <c r="I1318" s="84"/>
      <c r="J1318" s="84">
        <v>0</v>
      </c>
      <c r="K1318" s="84">
        <v>0</v>
      </c>
      <c r="L1318" s="84">
        <v>0</v>
      </c>
      <c r="M1318" s="84">
        <v>0</v>
      </c>
      <c r="N1318" s="84">
        <v>0</v>
      </c>
    </row>
    <row r="1319" spans="1:14" x14ac:dyDescent="0.25">
      <c r="A1319" s="74" t="s">
        <v>3339</v>
      </c>
      <c r="B1319" s="74">
        <v>7101</v>
      </c>
      <c r="C1319" t="e">
        <f>VLOOKUP(B1319,'Waste Lookups'!$B$1:$C$292,2,FALSE)</f>
        <v>#N/A</v>
      </c>
      <c r="D1319" s="84">
        <v>814.6036363636365</v>
      </c>
      <c r="E1319" s="84">
        <v>4291.7563636363639</v>
      </c>
      <c r="F1319" s="84">
        <v>19.636363636363637</v>
      </c>
      <c r="G1319" s="84">
        <v>0</v>
      </c>
      <c r="H1319" s="84">
        <v>0</v>
      </c>
      <c r="I1319" s="84"/>
      <c r="J1319" s="84">
        <v>878.44877980263175</v>
      </c>
      <c r="K1319" s="84">
        <v>4628.1258424969619</v>
      </c>
      <c r="L1319" s="84">
        <v>21.175377700406266</v>
      </c>
      <c r="M1319" s="84">
        <v>0</v>
      </c>
      <c r="N1319" s="84">
        <v>0</v>
      </c>
    </row>
    <row r="1320" spans="1:14" x14ac:dyDescent="0.25">
      <c r="A1320" s="74" t="s">
        <v>720</v>
      </c>
      <c r="B1320" s="74">
        <v>7103</v>
      </c>
      <c r="C1320" t="str">
        <f>VLOOKUP(B1320,'Waste Lookups'!$B$1:$C$292,2,FALSE)</f>
        <v>Clifton House</v>
      </c>
      <c r="D1320" s="84">
        <v>377.64000000000004</v>
      </c>
      <c r="E1320" s="84">
        <v>10773.72</v>
      </c>
      <c r="F1320" s="84">
        <v>19.636363636363637</v>
      </c>
      <c r="G1320" s="84">
        <v>0</v>
      </c>
      <c r="H1320" s="84">
        <v>0</v>
      </c>
      <c r="I1320" s="84"/>
      <c r="J1320" s="84">
        <v>240.2739085241522</v>
      </c>
      <c r="K1320" s="84">
        <v>6854.7924312700688</v>
      </c>
      <c r="L1320" s="84">
        <v>12.493660205779644</v>
      </c>
      <c r="M1320" s="84">
        <v>0</v>
      </c>
      <c r="N1320" s="84">
        <v>0</v>
      </c>
    </row>
    <row r="1321" spans="1:14" x14ac:dyDescent="0.25">
      <c r="A1321" s="74" t="s">
        <v>3342</v>
      </c>
      <c r="B1321" s="74">
        <v>7106</v>
      </c>
      <c r="C1321" t="e">
        <f>VLOOKUP(B1321,'Waste Lookups'!$B$1:$C$292,2,FALSE)</f>
        <v>#N/A</v>
      </c>
      <c r="D1321" s="84">
        <v>0</v>
      </c>
      <c r="E1321" s="84">
        <v>1926.3600000000001</v>
      </c>
      <c r="F1321" s="84">
        <v>19.636363636363637</v>
      </c>
      <c r="G1321" s="84">
        <v>0</v>
      </c>
      <c r="H1321" s="84">
        <v>0</v>
      </c>
      <c r="I1321" s="84"/>
      <c r="J1321" s="84">
        <v>0</v>
      </c>
      <c r="K1321" s="84">
        <v>1131.1991142093136</v>
      </c>
      <c r="L1321" s="84">
        <v>11.530885790686332</v>
      </c>
      <c r="M1321" s="84">
        <v>0</v>
      </c>
      <c r="N1321" s="84">
        <v>0</v>
      </c>
    </row>
    <row r="1322" spans="1:14" x14ac:dyDescent="0.25">
      <c r="A1322" s="74" t="s">
        <v>3344</v>
      </c>
      <c r="B1322" s="74">
        <v>7108</v>
      </c>
      <c r="C1322" t="e">
        <f>VLOOKUP(B1322,'Waste Lookups'!$B$1:$C$292,2,FALSE)</f>
        <v>#N/A</v>
      </c>
      <c r="D1322" s="84">
        <v>0</v>
      </c>
      <c r="E1322" s="84">
        <v>122.72727272727272</v>
      </c>
      <c r="F1322" s="84">
        <v>0</v>
      </c>
      <c r="G1322" s="84">
        <v>0</v>
      </c>
      <c r="H1322" s="84">
        <v>0</v>
      </c>
      <c r="I1322" s="84"/>
      <c r="J1322" s="84">
        <v>0</v>
      </c>
      <c r="K1322" s="84">
        <v>1254.51</v>
      </c>
      <c r="L1322" s="84">
        <v>0</v>
      </c>
      <c r="M1322" s="84">
        <v>0</v>
      </c>
      <c r="N1322" s="84">
        <v>0</v>
      </c>
    </row>
    <row r="1323" spans="1:14" x14ac:dyDescent="0.25">
      <c r="A1323" s="74" t="s">
        <v>3346</v>
      </c>
      <c r="B1323" s="74">
        <v>7109</v>
      </c>
      <c r="C1323" t="e">
        <f>VLOOKUP(B1323,'Waste Lookups'!$B$1:$C$292,2,FALSE)</f>
        <v>#N/A</v>
      </c>
      <c r="D1323" s="84">
        <v>0</v>
      </c>
      <c r="E1323" s="84">
        <v>0</v>
      </c>
      <c r="F1323" s="84">
        <v>19.636363636363637</v>
      </c>
      <c r="G1323" s="84">
        <v>0</v>
      </c>
      <c r="H1323" s="84">
        <v>0</v>
      </c>
      <c r="I1323" s="84"/>
      <c r="J1323" s="84">
        <v>0</v>
      </c>
      <c r="K1323" s="84">
        <v>0</v>
      </c>
      <c r="L1323" s="84">
        <v>0</v>
      </c>
      <c r="M1323" s="84">
        <v>0</v>
      </c>
      <c r="N1323" s="84">
        <v>0</v>
      </c>
    </row>
    <row r="1324" spans="1:14" x14ac:dyDescent="0.25">
      <c r="A1324" s="74" t="s">
        <v>3348</v>
      </c>
      <c r="B1324" s="74">
        <v>7110</v>
      </c>
      <c r="C1324" t="e">
        <f>VLOOKUP(B1324,'Waste Lookups'!$B$1:$C$292,2,FALSE)</f>
        <v>#N/A</v>
      </c>
      <c r="D1324" s="84">
        <v>472.69090909090909</v>
      </c>
      <c r="E1324" s="84">
        <v>8592.4036363636369</v>
      </c>
      <c r="F1324" s="84">
        <v>58.909090909090907</v>
      </c>
      <c r="G1324" s="84">
        <v>0</v>
      </c>
      <c r="H1324" s="84">
        <v>0</v>
      </c>
      <c r="I1324" s="84"/>
      <c r="J1324" s="84">
        <v>152.20029879227661</v>
      </c>
      <c r="K1324" s="84">
        <v>2766.6417433614674</v>
      </c>
      <c r="L1324" s="84">
        <v>18.967957846256489</v>
      </c>
      <c r="M1324" s="84">
        <v>0</v>
      </c>
      <c r="N1324" s="84">
        <v>0</v>
      </c>
    </row>
    <row r="1325" spans="1:14" x14ac:dyDescent="0.25">
      <c r="A1325" s="74" t="s">
        <v>3350</v>
      </c>
      <c r="B1325" s="74">
        <v>7115</v>
      </c>
      <c r="C1325" t="e">
        <f>VLOOKUP(B1325,'Waste Lookups'!$B$1:$C$292,2,FALSE)</f>
        <v>#N/A</v>
      </c>
      <c r="D1325" s="84">
        <v>0</v>
      </c>
      <c r="E1325" s="84">
        <v>0</v>
      </c>
      <c r="F1325" s="84">
        <v>19.636363636363637</v>
      </c>
      <c r="G1325" s="84">
        <v>0</v>
      </c>
      <c r="H1325" s="84">
        <v>0</v>
      </c>
      <c r="I1325" s="84"/>
      <c r="J1325" s="84">
        <v>0</v>
      </c>
      <c r="K1325" s="84">
        <v>0</v>
      </c>
      <c r="L1325" s="84">
        <v>0</v>
      </c>
      <c r="M1325" s="84">
        <v>0</v>
      </c>
      <c r="N1325" s="84">
        <v>0</v>
      </c>
    </row>
    <row r="1326" spans="1:14" x14ac:dyDescent="0.25">
      <c r="A1326" s="74" t="s">
        <v>3352</v>
      </c>
      <c r="B1326" s="74">
        <v>7116</v>
      </c>
      <c r="C1326" t="e">
        <f>VLOOKUP(B1326,'Waste Lookups'!$B$1:$C$292,2,FALSE)</f>
        <v>#N/A</v>
      </c>
      <c r="D1326" s="84">
        <v>712.85454545454547</v>
      </c>
      <c r="E1326" s="84">
        <v>4066.8763636363633</v>
      </c>
      <c r="F1326" s="84">
        <v>39.272727272727273</v>
      </c>
      <c r="G1326" s="84">
        <v>0</v>
      </c>
      <c r="H1326" s="84">
        <v>0</v>
      </c>
      <c r="I1326" s="84"/>
      <c r="J1326" s="84">
        <v>455.79462174753593</v>
      </c>
      <c r="K1326" s="84">
        <v>2600.334648459961</v>
      </c>
      <c r="L1326" s="84">
        <v>25.110729792503321</v>
      </c>
      <c r="M1326" s="84">
        <v>0</v>
      </c>
      <c r="N1326" s="84">
        <v>0</v>
      </c>
    </row>
    <row r="1327" spans="1:14" x14ac:dyDescent="0.25">
      <c r="A1327" s="74" t="s">
        <v>3354</v>
      </c>
      <c r="B1327" s="74">
        <v>7120</v>
      </c>
      <c r="C1327" t="e">
        <f>VLOOKUP(B1327,'Waste Lookups'!$B$1:$C$292,2,FALSE)</f>
        <v>#N/A</v>
      </c>
      <c r="D1327" s="84">
        <v>72.50181818181818</v>
      </c>
      <c r="E1327" s="84">
        <v>1145.8909090909092</v>
      </c>
      <c r="F1327" s="84">
        <v>112.60363636363635</v>
      </c>
      <c r="G1327" s="84">
        <v>0</v>
      </c>
      <c r="H1327" s="84">
        <v>0</v>
      </c>
      <c r="I1327" s="84"/>
      <c r="J1327" s="84">
        <v>85.473395023277163</v>
      </c>
      <c r="K1327" s="84">
        <v>1350.9066225165566</v>
      </c>
      <c r="L1327" s="84">
        <v>132.74998246016654</v>
      </c>
      <c r="M1327" s="84">
        <v>0</v>
      </c>
      <c r="N1327" s="84">
        <v>0</v>
      </c>
    </row>
    <row r="1328" spans="1:14" x14ac:dyDescent="0.25">
      <c r="A1328" s="74" t="s">
        <v>3356</v>
      </c>
      <c r="B1328" s="74">
        <v>7121</v>
      </c>
      <c r="C1328" t="e">
        <f>VLOOKUP(B1328,'Waste Lookups'!$B$1:$C$292,2,FALSE)</f>
        <v>#N/A</v>
      </c>
      <c r="D1328" s="84">
        <v>339.07636363636362</v>
      </c>
      <c r="E1328" s="84">
        <v>3164.8363636363638</v>
      </c>
      <c r="F1328" s="84">
        <v>19.636363636363637</v>
      </c>
      <c r="G1328" s="84">
        <v>0</v>
      </c>
      <c r="H1328" s="84">
        <v>65.454545454545453</v>
      </c>
      <c r="I1328" s="84"/>
      <c r="J1328" s="84">
        <v>203.71864902490029</v>
      </c>
      <c r="K1328" s="84">
        <v>1901.4483388653828</v>
      </c>
      <c r="L1328" s="84">
        <v>11.79761817916545</v>
      </c>
      <c r="M1328" s="84">
        <v>0</v>
      </c>
      <c r="N1328" s="84">
        <v>39.325393930551499</v>
      </c>
    </row>
    <row r="1329" spans="1:14" x14ac:dyDescent="0.25">
      <c r="A1329" s="74" t="s">
        <v>3358</v>
      </c>
      <c r="B1329" s="74">
        <v>7123</v>
      </c>
      <c r="C1329" t="e">
        <f>VLOOKUP(B1329,'Waste Lookups'!$B$1:$C$292,2,FALSE)</f>
        <v>#N/A</v>
      </c>
      <c r="D1329" s="84">
        <v>228.77454545454549</v>
      </c>
      <c r="E1329" s="84">
        <v>3340.5927272727272</v>
      </c>
      <c r="F1329" s="84">
        <v>19.636363636363637</v>
      </c>
      <c r="G1329" s="84">
        <v>0</v>
      </c>
      <c r="H1329" s="84">
        <v>0</v>
      </c>
      <c r="I1329" s="84"/>
      <c r="J1329" s="84">
        <v>103.64961625206693</v>
      </c>
      <c r="K1329" s="84">
        <v>1513.5038452302792</v>
      </c>
      <c r="L1329" s="84">
        <v>8.8965385176539247</v>
      </c>
      <c r="M1329" s="84">
        <v>0</v>
      </c>
      <c r="N1329" s="84">
        <v>0</v>
      </c>
    </row>
    <row r="1330" spans="1:14" x14ac:dyDescent="0.25">
      <c r="A1330" s="74" t="s">
        <v>803</v>
      </c>
      <c r="B1330" s="74">
        <v>7124</v>
      </c>
      <c r="C1330" t="str">
        <f>VLOOKUP(B1330,'Waste Lookups'!$B$1:$C$292,2,FALSE)</f>
        <v>St Leonards Hospital</v>
      </c>
      <c r="D1330" s="84">
        <v>1374.5672727272727</v>
      </c>
      <c r="E1330" s="84">
        <v>22244.52</v>
      </c>
      <c r="F1330" s="84">
        <v>58.909090909090907</v>
      </c>
      <c r="G1330" s="84">
        <v>0</v>
      </c>
      <c r="H1330" s="84">
        <v>0</v>
      </c>
      <c r="I1330" s="84"/>
      <c r="J1330" s="84">
        <v>561.89843379561125</v>
      </c>
      <c r="K1330" s="84">
        <v>9093.1605869937703</v>
      </c>
      <c r="L1330" s="84">
        <v>24.080979210618096</v>
      </c>
      <c r="M1330" s="84">
        <v>0</v>
      </c>
      <c r="N1330" s="84">
        <v>0</v>
      </c>
    </row>
    <row r="1331" spans="1:14" x14ac:dyDescent="0.25">
      <c r="A1331" s="74" t="s">
        <v>3361</v>
      </c>
      <c r="B1331" s="74">
        <v>7128</v>
      </c>
      <c r="C1331" t="e">
        <f>VLOOKUP(B1331,'Waste Lookups'!$B$1:$C$292,2,FALSE)</f>
        <v>#N/A</v>
      </c>
      <c r="D1331" s="84">
        <v>173.23636363636365</v>
      </c>
      <c r="E1331" s="84">
        <v>2166.130909090909</v>
      </c>
      <c r="F1331" s="84">
        <v>19.636363636363637</v>
      </c>
      <c r="G1331" s="84">
        <v>0</v>
      </c>
      <c r="H1331" s="84">
        <v>0</v>
      </c>
      <c r="I1331" s="84"/>
      <c r="J1331" s="84">
        <v>104.56880347018621</v>
      </c>
      <c r="K1331" s="84">
        <v>1307.518309486594</v>
      </c>
      <c r="L1331" s="84">
        <v>11.852887043220099</v>
      </c>
      <c r="M1331" s="84">
        <v>0</v>
      </c>
      <c r="N1331" s="84">
        <v>0</v>
      </c>
    </row>
    <row r="1332" spans="1:14" x14ac:dyDescent="0.25">
      <c r="A1332" s="74" t="s">
        <v>3363</v>
      </c>
      <c r="B1332" s="74">
        <v>7147</v>
      </c>
      <c r="C1332" t="e">
        <f>VLOOKUP(B1332,'Waste Lookups'!$B$1:$C$292,2,FALSE)</f>
        <v>#N/A</v>
      </c>
      <c r="D1332" s="84">
        <v>0</v>
      </c>
      <c r="E1332" s="84">
        <v>0</v>
      </c>
      <c r="F1332" s="84">
        <v>0</v>
      </c>
      <c r="G1332" s="84">
        <v>0</v>
      </c>
      <c r="H1332" s="84">
        <v>0</v>
      </c>
      <c r="I1332" s="84"/>
      <c r="J1332" s="84">
        <v>0</v>
      </c>
      <c r="K1332" s="84">
        <v>0</v>
      </c>
      <c r="L1332" s="84">
        <v>0</v>
      </c>
      <c r="M1332" s="84">
        <v>0</v>
      </c>
      <c r="N1332" s="84">
        <v>0</v>
      </c>
    </row>
    <row r="1333" spans="1:14" x14ac:dyDescent="0.25">
      <c r="A1333" s="74" t="s">
        <v>3365</v>
      </c>
      <c r="B1333" s="74">
        <v>7150</v>
      </c>
      <c r="C1333" t="e">
        <f>VLOOKUP(B1333,'Waste Lookups'!$B$1:$C$292,2,FALSE)</f>
        <v>#N/A</v>
      </c>
      <c r="D1333" s="84">
        <v>834.50181818181818</v>
      </c>
      <c r="E1333" s="84">
        <v>1858.6363636363635</v>
      </c>
      <c r="F1333" s="84">
        <v>0</v>
      </c>
      <c r="G1333" s="84">
        <v>0</v>
      </c>
      <c r="H1333" s="84">
        <v>0</v>
      </c>
      <c r="I1333" s="84"/>
      <c r="J1333" s="84">
        <v>155.23168423994721</v>
      </c>
      <c r="K1333" s="84">
        <v>345.73831576005284</v>
      </c>
      <c r="L1333" s="84">
        <v>0</v>
      </c>
      <c r="M1333" s="84">
        <v>0</v>
      </c>
      <c r="N1333" s="84">
        <v>0</v>
      </c>
    </row>
    <row r="1334" spans="1:14" x14ac:dyDescent="0.25">
      <c r="A1334" s="74" t="s">
        <v>3367</v>
      </c>
      <c r="B1334" s="74">
        <v>7164</v>
      </c>
      <c r="C1334" t="e">
        <f>VLOOKUP(B1334,'Waste Lookups'!$B$1:$C$292,2,FALSE)</f>
        <v>#N/A</v>
      </c>
      <c r="D1334" s="84">
        <v>810.14181818181828</v>
      </c>
      <c r="E1334" s="84">
        <v>8257.4072727272724</v>
      </c>
      <c r="F1334" s="84">
        <v>161.98909090909092</v>
      </c>
      <c r="G1334" s="84">
        <v>0</v>
      </c>
      <c r="H1334" s="84">
        <v>0</v>
      </c>
      <c r="I1334" s="84"/>
      <c r="J1334" s="84">
        <v>807.28044529756858</v>
      </c>
      <c r="K1334" s="84">
        <v>8228.2425996612474</v>
      </c>
      <c r="L1334" s="84">
        <v>161.41695504118599</v>
      </c>
      <c r="M1334" s="84">
        <v>0</v>
      </c>
      <c r="N1334" s="84">
        <v>0</v>
      </c>
    </row>
    <row r="1335" spans="1:14" x14ac:dyDescent="0.25">
      <c r="A1335" s="74" t="s">
        <v>3369</v>
      </c>
      <c r="B1335" s="74">
        <v>7171</v>
      </c>
      <c r="C1335" t="e">
        <f>VLOOKUP(B1335,'Waste Lookups'!$B$1:$C$292,2,FALSE)</f>
        <v>#N/A</v>
      </c>
      <c r="D1335" s="84">
        <v>4218.0545454545454</v>
      </c>
      <c r="E1335" s="84">
        <v>11388.654545454547</v>
      </c>
      <c r="F1335" s="84">
        <v>0</v>
      </c>
      <c r="G1335" s="84">
        <v>121.04727272727271</v>
      </c>
      <c r="H1335" s="84">
        <v>0</v>
      </c>
      <c r="I1335" s="84"/>
      <c r="J1335" s="84">
        <v>3189.5964692993252</v>
      </c>
      <c r="K1335" s="84">
        <v>8611.8403488632612</v>
      </c>
      <c r="L1335" s="84">
        <v>0</v>
      </c>
      <c r="M1335" s="84">
        <v>91.533181837413991</v>
      </c>
      <c r="N1335" s="84">
        <v>0</v>
      </c>
    </row>
    <row r="1336" spans="1:14" x14ac:dyDescent="0.25">
      <c r="A1336" s="74" t="s">
        <v>3371</v>
      </c>
      <c r="B1336" s="74">
        <v>7185</v>
      </c>
      <c r="C1336" t="e">
        <f>VLOOKUP(B1336,'Waste Lookups'!$B$1:$C$292,2,FALSE)</f>
        <v>#N/A</v>
      </c>
      <c r="D1336" s="84">
        <v>0</v>
      </c>
      <c r="E1336" s="84">
        <v>0</v>
      </c>
      <c r="F1336" s="84">
        <v>0</v>
      </c>
      <c r="G1336" s="84">
        <v>0</v>
      </c>
      <c r="H1336" s="84">
        <v>0</v>
      </c>
      <c r="I1336" s="84"/>
      <c r="J1336" s="84">
        <v>0</v>
      </c>
      <c r="K1336" s="84">
        <v>0</v>
      </c>
      <c r="L1336" s="84">
        <v>0</v>
      </c>
      <c r="M1336" s="84">
        <v>0</v>
      </c>
      <c r="N1336" s="84">
        <v>0</v>
      </c>
    </row>
    <row r="1337" spans="1:14" x14ac:dyDescent="0.25">
      <c r="A1337" s="74" t="s">
        <v>3373</v>
      </c>
      <c r="B1337" s="74">
        <v>7186</v>
      </c>
      <c r="C1337" t="e">
        <f>VLOOKUP(B1337,'Waste Lookups'!$B$1:$C$292,2,FALSE)</f>
        <v>#N/A</v>
      </c>
      <c r="D1337" s="84">
        <v>1757.0727272727274</v>
      </c>
      <c r="E1337" s="84">
        <v>2648.9672727272723</v>
      </c>
      <c r="F1337" s="84">
        <v>280.87636363636369</v>
      </c>
      <c r="G1337" s="84">
        <v>1122.3163636363636</v>
      </c>
      <c r="H1337" s="84">
        <v>0</v>
      </c>
      <c r="I1337" s="84"/>
      <c r="J1337" s="84">
        <v>3544.0754541203696</v>
      </c>
      <c r="K1337" s="84">
        <v>5343.0570882588772</v>
      </c>
      <c r="L1337" s="84">
        <v>566.53717888577376</v>
      </c>
      <c r="M1337" s="84">
        <v>2263.750278734979</v>
      </c>
      <c r="N1337" s="84">
        <v>0</v>
      </c>
    </row>
    <row r="1338" spans="1:14" x14ac:dyDescent="0.25">
      <c r="A1338" s="74" t="s">
        <v>3375</v>
      </c>
      <c r="B1338" s="74">
        <v>7194</v>
      </c>
      <c r="C1338" t="e">
        <f>VLOOKUP(B1338,'Waste Lookups'!$B$1:$C$292,2,FALSE)</f>
        <v>#N/A</v>
      </c>
      <c r="D1338" s="84">
        <v>136.39636363636365</v>
      </c>
      <c r="E1338" s="84">
        <v>0</v>
      </c>
      <c r="F1338" s="84">
        <v>23.563636363636366</v>
      </c>
      <c r="G1338" s="84">
        <v>0</v>
      </c>
      <c r="H1338" s="84">
        <v>136.39636363636365</v>
      </c>
      <c r="I1338" s="84"/>
      <c r="J1338" s="84">
        <v>596.0395402341162</v>
      </c>
      <c r="K1338" s="84">
        <v>0</v>
      </c>
      <c r="L1338" s="84">
        <v>102.97091953176765</v>
      </c>
      <c r="M1338" s="84">
        <v>0</v>
      </c>
      <c r="N1338" s="84">
        <v>596.0395402341162</v>
      </c>
    </row>
    <row r="1339" spans="1:14" x14ac:dyDescent="0.25">
      <c r="A1339" s="74" t="s">
        <v>3377</v>
      </c>
      <c r="B1339" s="74">
        <v>7207</v>
      </c>
      <c r="C1339" t="e">
        <f>VLOOKUP(B1339,'Waste Lookups'!$B$1:$C$292,2,FALSE)</f>
        <v>#N/A</v>
      </c>
      <c r="D1339" s="84">
        <v>0</v>
      </c>
      <c r="E1339" s="84">
        <v>1406.2581818181818</v>
      </c>
      <c r="F1339" s="84">
        <v>0</v>
      </c>
      <c r="G1339" s="84">
        <v>0</v>
      </c>
      <c r="H1339" s="84">
        <v>0</v>
      </c>
      <c r="I1339" s="84"/>
      <c r="J1339" s="84">
        <v>0</v>
      </c>
      <c r="K1339" s="84">
        <v>356.4</v>
      </c>
      <c r="L1339" s="84">
        <v>0</v>
      </c>
      <c r="M1339" s="84">
        <v>0</v>
      </c>
      <c r="N1339" s="84">
        <v>0</v>
      </c>
    </row>
    <row r="1340" spans="1:14" x14ac:dyDescent="0.25">
      <c r="A1340" s="74" t="s">
        <v>3379</v>
      </c>
      <c r="B1340" s="74">
        <v>7208</v>
      </c>
      <c r="C1340" t="e">
        <f>VLOOKUP(B1340,'Waste Lookups'!$B$1:$C$292,2,FALSE)</f>
        <v>#N/A</v>
      </c>
      <c r="D1340" s="84">
        <v>0</v>
      </c>
      <c r="E1340" s="84">
        <v>0</v>
      </c>
      <c r="F1340" s="84">
        <v>0</v>
      </c>
      <c r="G1340" s="84">
        <v>0</v>
      </c>
      <c r="H1340" s="84">
        <v>0</v>
      </c>
      <c r="I1340" s="84"/>
      <c r="J1340" s="84">
        <v>0</v>
      </c>
      <c r="K1340" s="84">
        <v>0</v>
      </c>
      <c r="L1340" s="84">
        <v>0</v>
      </c>
      <c r="M1340" s="84">
        <v>0</v>
      </c>
      <c r="N1340" s="84">
        <v>0</v>
      </c>
    </row>
    <row r="1341" spans="1:14" x14ac:dyDescent="0.25">
      <c r="A1341" s="74" t="s">
        <v>3381</v>
      </c>
      <c r="B1341" s="74">
        <v>7209</v>
      </c>
      <c r="C1341" t="e">
        <f>VLOOKUP(B1341,'Waste Lookups'!$B$1:$C$292,2,FALSE)</f>
        <v>#N/A</v>
      </c>
      <c r="D1341" s="84">
        <v>0</v>
      </c>
      <c r="E1341" s="84">
        <v>0</v>
      </c>
      <c r="F1341" s="84">
        <v>0</v>
      </c>
      <c r="G1341" s="84">
        <v>0</v>
      </c>
      <c r="H1341" s="84">
        <v>0</v>
      </c>
      <c r="I1341" s="84"/>
      <c r="J1341" s="84">
        <v>0</v>
      </c>
      <c r="K1341" s="84">
        <v>0</v>
      </c>
      <c r="L1341" s="84">
        <v>0</v>
      </c>
      <c r="M1341" s="84">
        <v>0</v>
      </c>
      <c r="N1341" s="84">
        <v>0</v>
      </c>
    </row>
    <row r="1342" spans="1:14" x14ac:dyDescent="0.25">
      <c r="A1342" s="74" t="s">
        <v>3383</v>
      </c>
      <c r="B1342" s="74">
        <v>7210</v>
      </c>
      <c r="C1342" t="e">
        <f>VLOOKUP(B1342,'Waste Lookups'!$B$1:$C$292,2,FALSE)</f>
        <v>#N/A</v>
      </c>
      <c r="D1342" s="84">
        <v>3278.9127272727274</v>
      </c>
      <c r="E1342" s="84">
        <v>16143.774545454544</v>
      </c>
      <c r="F1342" s="84">
        <v>0</v>
      </c>
      <c r="G1342" s="84">
        <v>0</v>
      </c>
      <c r="H1342" s="84">
        <v>0</v>
      </c>
      <c r="I1342" s="84"/>
      <c r="J1342" s="84">
        <v>931.3710545418395</v>
      </c>
      <c r="K1342" s="84">
        <v>4585.6189454581609</v>
      </c>
      <c r="L1342" s="84">
        <v>0</v>
      </c>
      <c r="M1342" s="84">
        <v>0</v>
      </c>
      <c r="N1342" s="84">
        <v>0</v>
      </c>
    </row>
    <row r="1343" spans="1:14" x14ac:dyDescent="0.25">
      <c r="A1343" s="74" t="s">
        <v>3385</v>
      </c>
      <c r="B1343" s="74">
        <v>7211</v>
      </c>
      <c r="C1343" t="e">
        <f>VLOOKUP(B1343,'Waste Lookups'!$B$1:$C$292,2,FALSE)</f>
        <v>#N/A</v>
      </c>
      <c r="D1343" s="84">
        <v>0</v>
      </c>
      <c r="E1343" s="84">
        <v>1784.5963636363635</v>
      </c>
      <c r="F1343" s="84">
        <v>0</v>
      </c>
      <c r="G1343" s="84">
        <v>0</v>
      </c>
      <c r="H1343" s="84">
        <v>0</v>
      </c>
      <c r="I1343" s="84"/>
      <c r="J1343" s="84">
        <v>0</v>
      </c>
      <c r="K1343" s="84">
        <v>330</v>
      </c>
      <c r="L1343" s="84">
        <v>0</v>
      </c>
      <c r="M1343" s="84">
        <v>0</v>
      </c>
      <c r="N1343" s="84">
        <v>0</v>
      </c>
    </row>
    <row r="1344" spans="1:14" x14ac:dyDescent="0.25">
      <c r="A1344" s="74" t="s">
        <v>3387</v>
      </c>
      <c r="B1344" s="74">
        <v>7212</v>
      </c>
      <c r="C1344" t="e">
        <f>VLOOKUP(B1344,'Waste Lookups'!$B$1:$C$292,2,FALSE)</f>
        <v>#N/A</v>
      </c>
      <c r="D1344" s="84">
        <v>0</v>
      </c>
      <c r="E1344" s="84">
        <v>0</v>
      </c>
      <c r="F1344" s="84">
        <v>0</v>
      </c>
      <c r="G1344" s="84">
        <v>0</v>
      </c>
      <c r="H1344" s="84">
        <v>0</v>
      </c>
      <c r="I1344" s="84"/>
      <c r="J1344" s="84">
        <v>0</v>
      </c>
      <c r="K1344" s="84">
        <v>0</v>
      </c>
      <c r="L1344" s="84">
        <v>0</v>
      </c>
      <c r="M1344" s="84">
        <v>0</v>
      </c>
      <c r="N1344" s="84">
        <v>0</v>
      </c>
    </row>
    <row r="1345" spans="1:14" x14ac:dyDescent="0.25">
      <c r="A1345" s="74" t="s">
        <v>3389</v>
      </c>
      <c r="B1345" s="74">
        <v>7214</v>
      </c>
      <c r="C1345" t="e">
        <f>VLOOKUP(B1345,'Waste Lookups'!$B$1:$C$292,2,FALSE)</f>
        <v>#N/A</v>
      </c>
      <c r="D1345" s="84">
        <v>0</v>
      </c>
      <c r="E1345" s="84">
        <v>8607.0763636363627</v>
      </c>
      <c r="F1345" s="84">
        <v>0</v>
      </c>
      <c r="G1345" s="84">
        <v>727.11272727272728</v>
      </c>
      <c r="H1345" s="84">
        <v>0</v>
      </c>
      <c r="I1345" s="84"/>
      <c r="J1345" s="84">
        <v>0</v>
      </c>
      <c r="K1345" s="84">
        <v>2276.117088381247</v>
      </c>
      <c r="L1345" s="84">
        <v>0</v>
      </c>
      <c r="M1345" s="84">
        <v>192.28291161875291</v>
      </c>
      <c r="N1345" s="84">
        <v>0</v>
      </c>
    </row>
    <row r="1346" spans="1:14" x14ac:dyDescent="0.25">
      <c r="A1346" s="74" t="s">
        <v>3391</v>
      </c>
      <c r="B1346" s="74">
        <v>7227</v>
      </c>
      <c r="C1346" t="e">
        <f>VLOOKUP(B1346,'Waste Lookups'!$B$1:$C$292,2,FALSE)</f>
        <v>#N/A</v>
      </c>
      <c r="D1346" s="84">
        <v>2822.2690909090907</v>
      </c>
      <c r="E1346" s="84">
        <v>0</v>
      </c>
      <c r="F1346" s="84">
        <v>0</v>
      </c>
      <c r="G1346" s="84">
        <v>0</v>
      </c>
      <c r="H1346" s="84">
        <v>0</v>
      </c>
      <c r="I1346" s="84"/>
      <c r="J1346" s="84">
        <v>21571.360000000001</v>
      </c>
      <c r="K1346" s="84">
        <v>0</v>
      </c>
      <c r="L1346" s="84">
        <v>0</v>
      </c>
      <c r="M1346" s="84">
        <v>0</v>
      </c>
      <c r="N1346" s="84">
        <v>0</v>
      </c>
    </row>
    <row r="1347" spans="1:14" x14ac:dyDescent="0.25">
      <c r="A1347" s="74" t="s">
        <v>3393</v>
      </c>
      <c r="B1347" s="74">
        <v>7228</v>
      </c>
      <c r="C1347" t="e">
        <f>VLOOKUP(B1347,'Waste Lookups'!$B$1:$C$292,2,FALSE)</f>
        <v>#N/A</v>
      </c>
      <c r="D1347" s="84">
        <v>0</v>
      </c>
      <c r="E1347" s="84">
        <v>16.407272727272726</v>
      </c>
      <c r="F1347" s="84">
        <v>0</v>
      </c>
      <c r="G1347" s="84">
        <v>0</v>
      </c>
      <c r="H1347" s="84">
        <v>0</v>
      </c>
      <c r="I1347" s="84"/>
      <c r="J1347" s="84">
        <v>0</v>
      </c>
      <c r="K1347" s="84">
        <v>0</v>
      </c>
      <c r="L1347" s="84">
        <v>0</v>
      </c>
      <c r="M1347" s="84">
        <v>0</v>
      </c>
      <c r="N1347" s="84">
        <v>0</v>
      </c>
    </row>
    <row r="1348" spans="1:14" x14ac:dyDescent="0.25">
      <c r="A1348" s="74" t="s">
        <v>802</v>
      </c>
      <c r="B1348" s="74">
        <v>7229</v>
      </c>
      <c r="C1348" t="str">
        <f>VLOOKUP(B1348,'Waste Lookups'!$B$1:$C$292,2,FALSE)</f>
        <v>Goswell House (Angel house)</v>
      </c>
      <c r="D1348" s="84">
        <v>79.985454545454544</v>
      </c>
      <c r="E1348" s="84">
        <v>8631.2727272727279</v>
      </c>
      <c r="F1348" s="84">
        <v>0</v>
      </c>
      <c r="G1348" s="84">
        <v>0</v>
      </c>
      <c r="H1348" s="84">
        <v>0</v>
      </c>
      <c r="I1348" s="84"/>
      <c r="J1348" s="84">
        <v>104.47346170222357</v>
      </c>
      <c r="K1348" s="84">
        <v>11273.786538297776</v>
      </c>
      <c r="L1348" s="84">
        <v>0</v>
      </c>
      <c r="M1348" s="84">
        <v>0</v>
      </c>
      <c r="N1348" s="84">
        <v>0</v>
      </c>
    </row>
    <row r="1349" spans="1:14" x14ac:dyDescent="0.25">
      <c r="A1349" s="74" t="s">
        <v>3396</v>
      </c>
      <c r="B1349" s="74">
        <v>7246</v>
      </c>
      <c r="C1349" t="e">
        <f>VLOOKUP(B1349,'Waste Lookups'!$B$1:$C$292,2,FALSE)</f>
        <v>#N/A</v>
      </c>
      <c r="D1349" s="84">
        <v>0</v>
      </c>
      <c r="E1349" s="84">
        <v>2440.3636363636365</v>
      </c>
      <c r="F1349" s="84">
        <v>19.636363636363637</v>
      </c>
      <c r="G1349" s="84">
        <v>0</v>
      </c>
      <c r="H1349" s="84">
        <v>0</v>
      </c>
      <c r="I1349" s="84"/>
      <c r="J1349" s="84">
        <v>0</v>
      </c>
      <c r="K1349" s="84">
        <v>2380.8425720620844</v>
      </c>
      <c r="L1349" s="84">
        <v>19.157427937915742</v>
      </c>
      <c r="M1349" s="84">
        <v>0</v>
      </c>
      <c r="N1349" s="84">
        <v>0</v>
      </c>
    </row>
    <row r="1350" spans="1:14" x14ac:dyDescent="0.25">
      <c r="A1350" s="74" t="s">
        <v>3398</v>
      </c>
      <c r="B1350" s="74">
        <v>7248</v>
      </c>
      <c r="C1350" t="e">
        <f>VLOOKUP(B1350,'Waste Lookups'!$B$1:$C$292,2,FALSE)</f>
        <v>#N/A</v>
      </c>
      <c r="D1350" s="84">
        <v>0</v>
      </c>
      <c r="E1350" s="84">
        <v>514.00363636363636</v>
      </c>
      <c r="F1350" s="84">
        <v>0</v>
      </c>
      <c r="G1350" s="84">
        <v>0</v>
      </c>
      <c r="H1350" s="84">
        <v>0</v>
      </c>
      <c r="I1350" s="84"/>
      <c r="J1350" s="84">
        <v>0</v>
      </c>
      <c r="K1350" s="84">
        <v>501</v>
      </c>
      <c r="L1350" s="84">
        <v>0</v>
      </c>
      <c r="M1350" s="84">
        <v>0</v>
      </c>
      <c r="N1350" s="84">
        <v>0</v>
      </c>
    </row>
    <row r="1351" spans="1:14" x14ac:dyDescent="0.25">
      <c r="A1351" s="74" t="s">
        <v>3400</v>
      </c>
      <c r="B1351" s="74">
        <v>7249</v>
      </c>
      <c r="C1351" t="e">
        <f>VLOOKUP(B1351,'Waste Lookups'!$B$1:$C$292,2,FALSE)</f>
        <v>#N/A</v>
      </c>
      <c r="D1351" s="84">
        <v>36.25090909090909</v>
      </c>
      <c r="E1351" s="84">
        <v>0</v>
      </c>
      <c r="F1351" s="84">
        <v>0</v>
      </c>
      <c r="G1351" s="84">
        <v>0</v>
      </c>
      <c r="H1351" s="84">
        <v>0</v>
      </c>
      <c r="I1351" s="84"/>
      <c r="J1351" s="84">
        <v>0</v>
      </c>
      <c r="K1351" s="84">
        <v>0</v>
      </c>
      <c r="L1351" s="84">
        <v>0</v>
      </c>
      <c r="M1351" s="84">
        <v>0</v>
      </c>
      <c r="N1351" s="84">
        <v>0</v>
      </c>
    </row>
    <row r="1352" spans="1:14" x14ac:dyDescent="0.25">
      <c r="A1352" s="74" t="s">
        <v>3402</v>
      </c>
      <c r="B1352" s="74">
        <v>7250</v>
      </c>
      <c r="C1352" t="e">
        <f>VLOOKUP(B1352,'Waste Lookups'!$B$1:$C$292,2,FALSE)</f>
        <v>#N/A</v>
      </c>
      <c r="D1352" s="84">
        <v>0</v>
      </c>
      <c r="E1352" s="84">
        <v>0</v>
      </c>
      <c r="F1352" s="84">
        <v>19.636363636363637</v>
      </c>
      <c r="G1352" s="84">
        <v>0</v>
      </c>
      <c r="H1352" s="84">
        <v>0</v>
      </c>
      <c r="I1352" s="84"/>
      <c r="J1352" s="84">
        <v>0</v>
      </c>
      <c r="K1352" s="84">
        <v>0</v>
      </c>
      <c r="L1352" s="84">
        <v>0</v>
      </c>
      <c r="M1352" s="84">
        <v>0</v>
      </c>
      <c r="N1352" s="84">
        <v>0</v>
      </c>
    </row>
    <row r="1353" spans="1:14" x14ac:dyDescent="0.25">
      <c r="A1353" s="74" t="s">
        <v>3404</v>
      </c>
      <c r="B1353" s="74">
        <v>7252</v>
      </c>
      <c r="C1353" t="e">
        <f>VLOOKUP(B1353,'Waste Lookups'!$B$1:$C$292,2,FALSE)</f>
        <v>#N/A</v>
      </c>
      <c r="D1353" s="84">
        <v>0</v>
      </c>
      <c r="E1353" s="84">
        <v>0</v>
      </c>
      <c r="F1353" s="84">
        <v>19.636363636363637</v>
      </c>
      <c r="G1353" s="84">
        <v>0</v>
      </c>
      <c r="H1353" s="84">
        <v>0</v>
      </c>
      <c r="I1353" s="84"/>
      <c r="J1353" s="84">
        <v>0</v>
      </c>
      <c r="K1353" s="84">
        <v>0</v>
      </c>
      <c r="L1353" s="84">
        <v>0</v>
      </c>
      <c r="M1353" s="84">
        <v>0</v>
      </c>
      <c r="N1353" s="84">
        <v>0</v>
      </c>
    </row>
    <row r="1354" spans="1:14" x14ac:dyDescent="0.25">
      <c r="A1354" s="74" t="s">
        <v>3406</v>
      </c>
      <c r="B1354" s="74">
        <v>7253</v>
      </c>
      <c r="C1354" t="e">
        <f>VLOOKUP(B1354,'Waste Lookups'!$B$1:$C$292,2,FALSE)</f>
        <v>#N/A</v>
      </c>
      <c r="D1354" s="84">
        <v>0</v>
      </c>
      <c r="E1354" s="84">
        <v>0</v>
      </c>
      <c r="F1354" s="84">
        <v>19.636363636363637</v>
      </c>
      <c r="G1354" s="84">
        <v>0</v>
      </c>
      <c r="H1354" s="84">
        <v>0</v>
      </c>
      <c r="I1354" s="84"/>
      <c r="J1354" s="84">
        <v>0</v>
      </c>
      <c r="K1354" s="84">
        <v>0</v>
      </c>
      <c r="L1354" s="84">
        <v>0</v>
      </c>
      <c r="M1354" s="84">
        <v>0</v>
      </c>
      <c r="N1354" s="84">
        <v>0</v>
      </c>
    </row>
    <row r="1355" spans="1:14" x14ac:dyDescent="0.25">
      <c r="A1355" s="74" t="s">
        <v>3408</v>
      </c>
      <c r="B1355" s="74">
        <v>7255</v>
      </c>
      <c r="C1355" t="e">
        <f>VLOOKUP(B1355,'Waste Lookups'!$B$1:$C$292,2,FALSE)</f>
        <v>#N/A</v>
      </c>
      <c r="D1355" s="84">
        <v>0</v>
      </c>
      <c r="E1355" s="84">
        <v>5106.3599999999997</v>
      </c>
      <c r="F1355" s="84">
        <v>19.636363636363637</v>
      </c>
      <c r="G1355" s="84">
        <v>0</v>
      </c>
      <c r="H1355" s="84">
        <v>0</v>
      </c>
      <c r="I1355" s="84"/>
      <c r="J1355" s="84">
        <v>0</v>
      </c>
      <c r="K1355" s="84">
        <v>4981.8424650391689</v>
      </c>
      <c r="L1355" s="84">
        <v>19.157534960830674</v>
      </c>
      <c r="M1355" s="84">
        <v>0</v>
      </c>
      <c r="N1355" s="84">
        <v>0</v>
      </c>
    </row>
    <row r="1356" spans="1:14" x14ac:dyDescent="0.25">
      <c r="A1356" s="74" t="s">
        <v>721</v>
      </c>
      <c r="B1356" s="74">
        <v>7258</v>
      </c>
      <c r="C1356" t="str">
        <f>VLOOKUP(B1356,'Waste Lookups'!$B$1:$C$292,2,FALSE)</f>
        <v>Warehouse K</v>
      </c>
      <c r="D1356" s="84">
        <v>790.96363636363628</v>
      </c>
      <c r="E1356" s="84">
        <v>0</v>
      </c>
      <c r="F1356" s="84">
        <v>19.636363636363637</v>
      </c>
      <c r="G1356" s="84">
        <v>0</v>
      </c>
      <c r="H1356" s="84">
        <v>0</v>
      </c>
      <c r="I1356" s="84"/>
      <c r="J1356" s="84">
        <v>0</v>
      </c>
      <c r="K1356" s="84">
        <v>0</v>
      </c>
      <c r="L1356" s="84">
        <v>0</v>
      </c>
      <c r="M1356" s="84">
        <v>0</v>
      </c>
      <c r="N1356" s="84">
        <v>0</v>
      </c>
    </row>
    <row r="1357" spans="1:14" x14ac:dyDescent="0.25">
      <c r="A1357" s="74" t="s">
        <v>3411</v>
      </c>
      <c r="B1357" s="74">
        <v>7260</v>
      </c>
      <c r="C1357" t="e">
        <f>VLOOKUP(B1357,'Waste Lookups'!$B$1:$C$292,2,FALSE)</f>
        <v>#N/A</v>
      </c>
      <c r="D1357" s="84">
        <v>0</v>
      </c>
      <c r="E1357" s="84">
        <v>2031.3600000000001</v>
      </c>
      <c r="F1357" s="84">
        <v>19.636363636363637</v>
      </c>
      <c r="G1357" s="84">
        <v>0</v>
      </c>
      <c r="H1357" s="84">
        <v>0</v>
      </c>
      <c r="I1357" s="84"/>
      <c r="J1357" s="84">
        <v>0</v>
      </c>
      <c r="K1357" s="84">
        <v>1981.8423045827838</v>
      </c>
      <c r="L1357" s="84">
        <v>19.157695417216289</v>
      </c>
      <c r="M1357" s="84">
        <v>0</v>
      </c>
      <c r="N1357" s="84">
        <v>0</v>
      </c>
    </row>
    <row r="1358" spans="1:14" x14ac:dyDescent="0.25">
      <c r="A1358" s="74" t="s">
        <v>3413</v>
      </c>
      <c r="B1358" s="74">
        <v>7261</v>
      </c>
      <c r="C1358" t="e">
        <f>VLOOKUP(B1358,'Waste Lookups'!$B$1:$C$292,2,FALSE)</f>
        <v>#N/A</v>
      </c>
      <c r="D1358" s="84">
        <v>0</v>
      </c>
      <c r="E1358" s="84">
        <v>23965.363636363636</v>
      </c>
      <c r="F1358" s="84">
        <v>19.636363636363637</v>
      </c>
      <c r="G1358" s="84">
        <v>0</v>
      </c>
      <c r="H1358" s="84">
        <v>0</v>
      </c>
      <c r="I1358" s="84"/>
      <c r="J1358" s="84">
        <v>0</v>
      </c>
      <c r="K1358" s="84">
        <v>23380.842572062083</v>
      </c>
      <c r="L1358" s="84">
        <v>19.157427937915742</v>
      </c>
      <c r="M1358" s="84">
        <v>0</v>
      </c>
      <c r="N1358" s="84">
        <v>0</v>
      </c>
    </row>
    <row r="1359" spans="1:14" x14ac:dyDescent="0.25">
      <c r="A1359" s="74" t="s">
        <v>3415</v>
      </c>
      <c r="B1359" s="74">
        <v>7264</v>
      </c>
      <c r="C1359" t="e">
        <f>VLOOKUP(B1359,'Waste Lookups'!$B$1:$C$292,2,FALSE)</f>
        <v>#N/A</v>
      </c>
      <c r="D1359" s="84">
        <v>0</v>
      </c>
      <c r="E1359" s="84">
        <v>0</v>
      </c>
      <c r="F1359" s="84">
        <v>19.636363636363637</v>
      </c>
      <c r="G1359" s="84">
        <v>0</v>
      </c>
      <c r="H1359" s="84">
        <v>0</v>
      </c>
      <c r="I1359" s="84"/>
      <c r="J1359" s="84">
        <v>0</v>
      </c>
      <c r="K1359" s="84">
        <v>0</v>
      </c>
      <c r="L1359" s="84">
        <v>0</v>
      </c>
      <c r="M1359" s="84">
        <v>0</v>
      </c>
      <c r="N1359" s="84">
        <v>0</v>
      </c>
    </row>
    <row r="1360" spans="1:14" x14ac:dyDescent="0.25">
      <c r="A1360" s="74" t="s">
        <v>3417</v>
      </c>
      <c r="B1360" s="74">
        <v>7265</v>
      </c>
      <c r="C1360" t="e">
        <f>VLOOKUP(B1360,'Waste Lookups'!$B$1:$C$292,2,FALSE)</f>
        <v>#N/A</v>
      </c>
      <c r="D1360" s="84">
        <v>0</v>
      </c>
      <c r="E1360" s="84">
        <v>0</v>
      </c>
      <c r="F1360" s="84">
        <v>0</v>
      </c>
      <c r="G1360" s="84">
        <v>51</v>
      </c>
      <c r="H1360" s="84">
        <v>0</v>
      </c>
      <c r="I1360" s="84"/>
      <c r="J1360" s="84">
        <v>0</v>
      </c>
      <c r="K1360" s="84">
        <v>0</v>
      </c>
      <c r="L1360" s="84">
        <v>0</v>
      </c>
      <c r="M1360" s="84">
        <v>0</v>
      </c>
      <c r="N1360" s="84">
        <v>0</v>
      </c>
    </row>
    <row r="1361" spans="1:14" x14ac:dyDescent="0.25">
      <c r="A1361" s="74" t="s">
        <v>3419</v>
      </c>
      <c r="B1361" s="74">
        <v>7266</v>
      </c>
      <c r="C1361" t="e">
        <f>VLOOKUP(B1361,'Waste Lookups'!$B$1:$C$292,2,FALSE)</f>
        <v>#N/A</v>
      </c>
      <c r="D1361" s="84">
        <v>262.49454545454546</v>
      </c>
      <c r="E1361" s="84">
        <v>1255.8654545454547</v>
      </c>
      <c r="F1361" s="84">
        <v>19.636363636363637</v>
      </c>
      <c r="G1361" s="84">
        <v>0</v>
      </c>
      <c r="H1361" s="84">
        <v>0</v>
      </c>
      <c r="I1361" s="84"/>
      <c r="J1361" s="84">
        <v>256.0095898087003</v>
      </c>
      <c r="K1361" s="84">
        <v>1224.8391650057099</v>
      </c>
      <c r="L1361" s="84">
        <v>19.151245185589747</v>
      </c>
      <c r="M1361" s="84">
        <v>0</v>
      </c>
      <c r="N1361" s="84">
        <v>0</v>
      </c>
    </row>
    <row r="1362" spans="1:14" x14ac:dyDescent="0.25">
      <c r="A1362" s="74" t="s">
        <v>3421</v>
      </c>
      <c r="B1362" s="74">
        <v>7267</v>
      </c>
      <c r="C1362" t="e">
        <f>VLOOKUP(B1362,'Waste Lookups'!$B$1:$C$292,2,FALSE)</f>
        <v>#N/A</v>
      </c>
      <c r="D1362" s="84">
        <v>267.20727272727271</v>
      </c>
      <c r="E1362" s="84">
        <v>4119.1527272727271</v>
      </c>
      <c r="F1362" s="84">
        <v>19.636363636363637</v>
      </c>
      <c r="G1362" s="84">
        <v>0</v>
      </c>
      <c r="H1362" s="84">
        <v>0</v>
      </c>
      <c r="I1362" s="84"/>
      <c r="J1362" s="84">
        <v>260.71834169796693</v>
      </c>
      <c r="K1362" s="84">
        <v>4019.1221492362888</v>
      </c>
      <c r="L1362" s="84">
        <v>19.159509065744288</v>
      </c>
      <c r="M1362" s="84">
        <v>0</v>
      </c>
      <c r="N1362" s="84">
        <v>0</v>
      </c>
    </row>
    <row r="1363" spans="1:14" x14ac:dyDescent="0.25">
      <c r="A1363" s="74" t="s">
        <v>3423</v>
      </c>
      <c r="B1363" s="74">
        <v>7269</v>
      </c>
      <c r="C1363" t="e">
        <f>VLOOKUP(B1363,'Waste Lookups'!$B$1:$C$292,2,FALSE)</f>
        <v>#N/A</v>
      </c>
      <c r="D1363" s="84">
        <v>0</v>
      </c>
      <c r="E1363" s="84">
        <v>0</v>
      </c>
      <c r="F1363" s="84">
        <v>19.636363636363637</v>
      </c>
      <c r="G1363" s="84">
        <v>0</v>
      </c>
      <c r="H1363" s="84">
        <v>0</v>
      </c>
      <c r="I1363" s="84"/>
      <c r="J1363" s="84">
        <v>0</v>
      </c>
      <c r="K1363" s="84">
        <v>0</v>
      </c>
      <c r="L1363" s="84">
        <v>0</v>
      </c>
      <c r="M1363" s="84">
        <v>0</v>
      </c>
      <c r="N1363" s="84">
        <v>0</v>
      </c>
    </row>
    <row r="1364" spans="1:14" x14ac:dyDescent="0.25">
      <c r="A1364" s="74" t="s">
        <v>722</v>
      </c>
      <c r="B1364" s="74">
        <v>7284</v>
      </c>
      <c r="C1364" t="str">
        <f>VLOOKUP(B1364,'Waste Lookups'!$B$1:$C$292,2,FALSE)</f>
        <v>Becketts House</v>
      </c>
      <c r="D1364" s="84">
        <v>0</v>
      </c>
      <c r="E1364" s="84">
        <v>1008.2618181818182</v>
      </c>
      <c r="F1364" s="84">
        <v>0</v>
      </c>
      <c r="G1364" s="84">
        <v>0</v>
      </c>
      <c r="H1364" s="84">
        <v>0</v>
      </c>
      <c r="I1364" s="84"/>
      <c r="J1364" s="84">
        <v>0</v>
      </c>
      <c r="K1364" s="84">
        <v>3931.83</v>
      </c>
      <c r="L1364" s="84">
        <v>0</v>
      </c>
      <c r="M1364" s="84">
        <v>0</v>
      </c>
      <c r="N1364" s="84">
        <v>0</v>
      </c>
    </row>
    <row r="1365" spans="1:14" x14ac:dyDescent="0.25">
      <c r="A1365" s="74" t="s">
        <v>3426</v>
      </c>
      <c r="B1365" s="74">
        <v>7285</v>
      </c>
      <c r="C1365" t="e">
        <f>VLOOKUP(B1365,'Waste Lookups'!$B$1:$C$292,2,FALSE)</f>
        <v>#N/A</v>
      </c>
      <c r="D1365" s="84">
        <v>64.276363636363641</v>
      </c>
      <c r="E1365" s="84">
        <v>9004.9527272727282</v>
      </c>
      <c r="F1365" s="84">
        <v>0</v>
      </c>
      <c r="G1365" s="84">
        <v>2656.0690909090908</v>
      </c>
      <c r="H1365" s="84">
        <v>0</v>
      </c>
      <c r="I1365" s="84"/>
      <c r="J1365" s="84">
        <v>51.269525641061428</v>
      </c>
      <c r="K1365" s="84">
        <v>7182.7282787706581</v>
      </c>
      <c r="L1365" s="84">
        <v>0</v>
      </c>
      <c r="M1365" s="84">
        <v>2118.59219558828</v>
      </c>
      <c r="N1365" s="84">
        <v>0</v>
      </c>
    </row>
    <row r="1366" spans="1:14" x14ac:dyDescent="0.25">
      <c r="A1366" s="74" t="s">
        <v>3428</v>
      </c>
      <c r="B1366" s="74">
        <v>7286</v>
      </c>
      <c r="C1366" t="e">
        <f>VLOOKUP(B1366,'Waste Lookups'!$B$1:$C$292,2,FALSE)</f>
        <v>#N/A</v>
      </c>
      <c r="D1366" s="84">
        <v>199.59272727272727</v>
      </c>
      <c r="E1366" s="84">
        <v>3183.9381818181819</v>
      </c>
      <c r="F1366" s="84">
        <v>0</v>
      </c>
      <c r="G1366" s="84">
        <v>97.99636363636364</v>
      </c>
      <c r="H1366" s="84">
        <v>0</v>
      </c>
      <c r="I1366" s="84"/>
      <c r="J1366" s="84">
        <v>113.99771285329322</v>
      </c>
      <c r="K1366" s="84">
        <v>1818.5115036661027</v>
      </c>
      <c r="L1366" s="84">
        <v>0</v>
      </c>
      <c r="M1366" s="84">
        <v>55.970783480604126</v>
      </c>
      <c r="N1366" s="84">
        <v>0</v>
      </c>
    </row>
    <row r="1367" spans="1:14" x14ac:dyDescent="0.25">
      <c r="A1367" s="74" t="s">
        <v>3430</v>
      </c>
      <c r="B1367" s="74">
        <v>7287</v>
      </c>
      <c r="C1367" t="e">
        <f>VLOOKUP(B1367,'Waste Lookups'!$B$1:$C$292,2,FALSE)</f>
        <v>#N/A</v>
      </c>
      <c r="D1367" s="84">
        <v>12.85090909090909</v>
      </c>
      <c r="E1367" s="84">
        <v>1992.338181818182</v>
      </c>
      <c r="F1367" s="84">
        <v>0</v>
      </c>
      <c r="G1367" s="84">
        <v>32.127272727272725</v>
      </c>
      <c r="H1367" s="84">
        <v>0</v>
      </c>
      <c r="I1367" s="84"/>
      <c r="J1367" s="84">
        <v>9.0667787570815079</v>
      </c>
      <c r="K1367" s="84">
        <v>1405.6662743502147</v>
      </c>
      <c r="L1367" s="84">
        <v>0</v>
      </c>
      <c r="M1367" s="84">
        <v>22.66694689270377</v>
      </c>
      <c r="N1367" s="84">
        <v>0</v>
      </c>
    </row>
    <row r="1368" spans="1:14" x14ac:dyDescent="0.25">
      <c r="A1368" s="74" t="s">
        <v>3432</v>
      </c>
      <c r="B1368" s="74">
        <v>7288</v>
      </c>
      <c r="C1368" t="e">
        <f>VLOOKUP(B1368,'Waste Lookups'!$B$1:$C$292,2,FALSE)</f>
        <v>#N/A</v>
      </c>
      <c r="D1368" s="84">
        <v>0</v>
      </c>
      <c r="E1368" s="84">
        <v>471.25090909090909</v>
      </c>
      <c r="F1368" s="84">
        <v>0</v>
      </c>
      <c r="G1368" s="84">
        <v>0</v>
      </c>
      <c r="H1368" s="84">
        <v>0</v>
      </c>
      <c r="I1368" s="84"/>
      <c r="J1368" s="84">
        <v>0</v>
      </c>
      <c r="K1368" s="84">
        <v>1885.83</v>
      </c>
      <c r="L1368" s="84">
        <v>0</v>
      </c>
      <c r="M1368" s="84">
        <v>0</v>
      </c>
      <c r="N1368" s="84">
        <v>0</v>
      </c>
    </row>
    <row r="1369" spans="1:14" x14ac:dyDescent="0.25">
      <c r="A1369" s="74" t="s">
        <v>3434</v>
      </c>
      <c r="B1369" s="74">
        <v>7289</v>
      </c>
      <c r="C1369" t="e">
        <f>VLOOKUP(B1369,'Waste Lookups'!$B$1:$C$292,2,FALSE)</f>
        <v>#N/A</v>
      </c>
      <c r="D1369" s="84">
        <v>199.59272727272727</v>
      </c>
      <c r="E1369" s="84">
        <v>1801.0472727272727</v>
      </c>
      <c r="F1369" s="84">
        <v>0</v>
      </c>
      <c r="G1369" s="84">
        <v>12.85090909090909</v>
      </c>
      <c r="H1369" s="84">
        <v>0</v>
      </c>
      <c r="I1369" s="84"/>
      <c r="J1369" s="84">
        <v>145.11304328980876</v>
      </c>
      <c r="K1369" s="84">
        <v>1309.4437579238231</v>
      </c>
      <c r="L1369" s="84">
        <v>0</v>
      </c>
      <c r="M1369" s="84">
        <v>9.3431987863683155</v>
      </c>
      <c r="N1369" s="84">
        <v>0</v>
      </c>
    </row>
    <row r="1370" spans="1:14" x14ac:dyDescent="0.25">
      <c r="A1370" s="74" t="s">
        <v>3436</v>
      </c>
      <c r="B1370" s="74">
        <v>7291</v>
      </c>
      <c r="C1370" t="e">
        <f>VLOOKUP(B1370,'Waste Lookups'!$B$1:$C$292,2,FALSE)</f>
        <v>#N/A</v>
      </c>
      <c r="D1370" s="84">
        <v>1999.7345454545452</v>
      </c>
      <c r="E1370" s="84">
        <v>11857.003636363637</v>
      </c>
      <c r="F1370" s="84">
        <v>0</v>
      </c>
      <c r="G1370" s="84">
        <v>747.22909090909093</v>
      </c>
      <c r="H1370" s="84">
        <v>0</v>
      </c>
      <c r="I1370" s="84"/>
      <c r="J1370" s="84">
        <v>1266.5766956600332</v>
      </c>
      <c r="K1370" s="84">
        <v>7509.8990115014822</v>
      </c>
      <c r="L1370" s="84">
        <v>0</v>
      </c>
      <c r="M1370" s="84">
        <v>473.27429283848397</v>
      </c>
      <c r="N1370" s="84">
        <v>0</v>
      </c>
    </row>
    <row r="1371" spans="1:14" x14ac:dyDescent="0.25">
      <c r="A1371" s="74" t="s">
        <v>3438</v>
      </c>
      <c r="B1371" s="74">
        <v>7292</v>
      </c>
      <c r="C1371" t="e">
        <f>VLOOKUP(B1371,'Waste Lookups'!$B$1:$C$292,2,FALSE)</f>
        <v>#N/A</v>
      </c>
      <c r="D1371" s="84">
        <v>0</v>
      </c>
      <c r="E1371" s="84">
        <v>279.51272727272732</v>
      </c>
      <c r="F1371" s="84">
        <v>0</v>
      </c>
      <c r="G1371" s="84">
        <v>0</v>
      </c>
      <c r="H1371" s="84">
        <v>0</v>
      </c>
      <c r="I1371" s="84"/>
      <c r="J1371" s="84">
        <v>0</v>
      </c>
      <c r="K1371" s="84">
        <v>118.97</v>
      </c>
      <c r="L1371" s="84">
        <v>0</v>
      </c>
      <c r="M1371" s="84">
        <v>0</v>
      </c>
      <c r="N1371" s="84">
        <v>0</v>
      </c>
    </row>
    <row r="1372" spans="1:14" x14ac:dyDescent="0.25">
      <c r="A1372" s="74" t="s">
        <v>3440</v>
      </c>
      <c r="B1372" s="74">
        <v>7293</v>
      </c>
      <c r="C1372" t="e">
        <f>VLOOKUP(B1372,'Waste Lookups'!$B$1:$C$292,2,FALSE)</f>
        <v>#N/A</v>
      </c>
      <c r="D1372" s="84">
        <v>12.85090909090909</v>
      </c>
      <c r="E1372" s="84">
        <v>3433.4945454545455</v>
      </c>
      <c r="F1372" s="84">
        <v>0</v>
      </c>
      <c r="G1372" s="84">
        <v>288.54545454545456</v>
      </c>
      <c r="H1372" s="84">
        <v>0</v>
      </c>
      <c r="I1372" s="84"/>
      <c r="J1372" s="84">
        <v>11.422951061002145</v>
      </c>
      <c r="K1372" s="84">
        <v>3051.9739797000275</v>
      </c>
      <c r="L1372" s="84">
        <v>0</v>
      </c>
      <c r="M1372" s="84">
        <v>256.48306923897013</v>
      </c>
      <c r="N1372" s="84">
        <v>0</v>
      </c>
    </row>
    <row r="1373" spans="1:14" x14ac:dyDescent="0.25">
      <c r="A1373" s="74" t="s">
        <v>3442</v>
      </c>
      <c r="B1373" s="74">
        <v>7294</v>
      </c>
      <c r="C1373" t="e">
        <f>VLOOKUP(B1373,'Waste Lookups'!$B$1:$C$292,2,FALSE)</f>
        <v>#N/A</v>
      </c>
      <c r="D1373" s="84">
        <v>0</v>
      </c>
      <c r="E1373" s="84">
        <v>3749.5636363636359</v>
      </c>
      <c r="F1373" s="84">
        <v>0</v>
      </c>
      <c r="G1373" s="84">
        <v>713.22545454545445</v>
      </c>
      <c r="H1373" s="84">
        <v>0</v>
      </c>
      <c r="I1373" s="84"/>
      <c r="J1373" s="84">
        <v>0</v>
      </c>
      <c r="K1373" s="84">
        <v>2162.801449073429</v>
      </c>
      <c r="L1373" s="84">
        <v>0</v>
      </c>
      <c r="M1373" s="84">
        <v>411.39855092657098</v>
      </c>
      <c r="N1373" s="84">
        <v>0</v>
      </c>
    </row>
    <row r="1374" spans="1:14" x14ac:dyDescent="0.25">
      <c r="A1374" s="74" t="s">
        <v>3444</v>
      </c>
      <c r="B1374" s="74">
        <v>7295</v>
      </c>
      <c r="C1374" t="e">
        <f>VLOOKUP(B1374,'Waste Lookups'!$B$1:$C$292,2,FALSE)</f>
        <v>#N/A</v>
      </c>
      <c r="D1374" s="84">
        <v>328.69090909090909</v>
      </c>
      <c r="E1374" s="84">
        <v>2069.3672727272728</v>
      </c>
      <c r="F1374" s="84">
        <v>0</v>
      </c>
      <c r="G1374" s="84">
        <v>57.81818181818182</v>
      </c>
      <c r="H1374" s="84">
        <v>0</v>
      </c>
      <c r="I1374" s="84"/>
      <c r="J1374" s="84">
        <v>566.34180089018389</v>
      </c>
      <c r="K1374" s="84">
        <v>3565.5661763843605</v>
      </c>
      <c r="L1374" s="84">
        <v>0</v>
      </c>
      <c r="M1374" s="84">
        <v>99.622022725455523</v>
      </c>
      <c r="N1374" s="84">
        <v>0</v>
      </c>
    </row>
    <row r="1375" spans="1:14" x14ac:dyDescent="0.25">
      <c r="A1375" s="74" t="s">
        <v>3446</v>
      </c>
      <c r="B1375" s="74">
        <v>7296</v>
      </c>
      <c r="C1375" t="e">
        <f>VLOOKUP(B1375,'Waste Lookups'!$B$1:$C$292,2,FALSE)</f>
        <v>#N/A</v>
      </c>
      <c r="D1375" s="84">
        <v>147.16363636363636</v>
      </c>
      <c r="E1375" s="84">
        <v>2134.7454545454543</v>
      </c>
      <c r="F1375" s="84">
        <v>0</v>
      </c>
      <c r="G1375" s="84">
        <v>680.14909090909089</v>
      </c>
      <c r="H1375" s="84">
        <v>0</v>
      </c>
      <c r="I1375" s="84"/>
      <c r="J1375" s="84">
        <v>95.862159235715708</v>
      </c>
      <c r="K1375" s="84">
        <v>1390.5698020786531</v>
      </c>
      <c r="L1375" s="84">
        <v>0</v>
      </c>
      <c r="M1375" s="84">
        <v>443.04803868563141</v>
      </c>
      <c r="N1375" s="84">
        <v>0</v>
      </c>
    </row>
    <row r="1376" spans="1:14" x14ac:dyDescent="0.25">
      <c r="A1376" s="74" t="s">
        <v>3448</v>
      </c>
      <c r="B1376" s="74">
        <v>7297</v>
      </c>
      <c r="C1376" t="e">
        <f>VLOOKUP(B1376,'Waste Lookups'!$B$1:$C$292,2,FALSE)</f>
        <v>#N/A</v>
      </c>
      <c r="D1376" s="84">
        <v>186.74181818181819</v>
      </c>
      <c r="E1376" s="84">
        <v>2229.6545454545453</v>
      </c>
      <c r="F1376" s="84">
        <v>0</v>
      </c>
      <c r="G1376" s="84">
        <v>1003.5818181818183</v>
      </c>
      <c r="H1376" s="84">
        <v>0</v>
      </c>
      <c r="I1376" s="84"/>
      <c r="J1376" s="84">
        <v>64.820027496188175</v>
      </c>
      <c r="K1376" s="84">
        <v>773.9362846014966</v>
      </c>
      <c r="L1376" s="84">
        <v>0</v>
      </c>
      <c r="M1376" s="84">
        <v>348.35368790231519</v>
      </c>
      <c r="N1376" s="84">
        <v>0</v>
      </c>
    </row>
    <row r="1377" spans="1:14" x14ac:dyDescent="0.25">
      <c r="A1377" s="74" t="s">
        <v>3450</v>
      </c>
      <c r="B1377" s="74">
        <v>7299</v>
      </c>
      <c r="C1377" t="e">
        <f>VLOOKUP(B1377,'Waste Lookups'!$B$1:$C$292,2,FALSE)</f>
        <v>#N/A</v>
      </c>
      <c r="D1377" s="84">
        <v>682.90909090909088</v>
      </c>
      <c r="E1377" s="84">
        <v>1410.3818181818181</v>
      </c>
      <c r="F1377" s="84">
        <v>0</v>
      </c>
      <c r="G1377" s="84">
        <v>539.06181818181813</v>
      </c>
      <c r="H1377" s="84">
        <v>0</v>
      </c>
      <c r="I1377" s="84"/>
      <c r="J1377" s="84">
        <v>226.94864048338366</v>
      </c>
      <c r="K1377" s="84">
        <v>468.7069486404834</v>
      </c>
      <c r="L1377" s="84">
        <v>0</v>
      </c>
      <c r="M1377" s="84">
        <v>179.14441087613292</v>
      </c>
      <c r="N1377" s="84">
        <v>0</v>
      </c>
    </row>
    <row r="1378" spans="1:14" x14ac:dyDescent="0.25">
      <c r="A1378" s="74" t="s">
        <v>3452</v>
      </c>
      <c r="B1378" s="74">
        <v>7310</v>
      </c>
      <c r="C1378" t="e">
        <f>VLOOKUP(B1378,'Waste Lookups'!$B$1:$C$292,2,FALSE)</f>
        <v>#N/A</v>
      </c>
      <c r="D1378" s="84">
        <v>0</v>
      </c>
      <c r="E1378" s="84">
        <v>922.99636363636364</v>
      </c>
      <c r="F1378" s="84">
        <v>0</v>
      </c>
      <c r="G1378" s="84">
        <v>0</v>
      </c>
      <c r="H1378" s="84">
        <v>0</v>
      </c>
      <c r="I1378" s="84"/>
      <c r="J1378" s="84">
        <v>0</v>
      </c>
      <c r="K1378" s="84">
        <v>900</v>
      </c>
      <c r="L1378" s="84">
        <v>0</v>
      </c>
      <c r="M1378" s="84">
        <v>0</v>
      </c>
      <c r="N1378" s="84">
        <v>0</v>
      </c>
    </row>
    <row r="1379" spans="1:14" x14ac:dyDescent="0.25">
      <c r="A1379" s="74" t="s">
        <v>3454</v>
      </c>
      <c r="B1379" s="74">
        <v>7312</v>
      </c>
      <c r="C1379" t="e">
        <f>VLOOKUP(B1379,'Waste Lookups'!$B$1:$C$292,2,FALSE)</f>
        <v>#N/A</v>
      </c>
      <c r="D1379" s="84">
        <v>0</v>
      </c>
      <c r="E1379" s="84">
        <v>0</v>
      </c>
      <c r="F1379" s="84">
        <v>0</v>
      </c>
      <c r="G1379" s="84">
        <v>0</v>
      </c>
      <c r="H1379" s="84">
        <v>3118.6036363636363</v>
      </c>
      <c r="I1379" s="84"/>
      <c r="J1379" s="84">
        <v>0</v>
      </c>
      <c r="K1379" s="84">
        <v>0</v>
      </c>
      <c r="L1379" s="84">
        <v>0</v>
      </c>
      <c r="M1379" s="84">
        <v>0</v>
      </c>
      <c r="N1379" s="84">
        <v>8130.13</v>
      </c>
    </row>
    <row r="1380" spans="1:14" x14ac:dyDescent="0.25">
      <c r="A1380" s="74" t="s">
        <v>3456</v>
      </c>
      <c r="B1380" s="74">
        <v>7315</v>
      </c>
      <c r="C1380" t="e">
        <f>VLOOKUP(B1380,'Waste Lookups'!$B$1:$C$292,2,FALSE)</f>
        <v>#N/A</v>
      </c>
      <c r="D1380" s="84">
        <v>0</v>
      </c>
      <c r="E1380" s="84">
        <v>3398.0181818181818</v>
      </c>
      <c r="F1380" s="84">
        <v>85.985454545454544</v>
      </c>
      <c r="G1380" s="84">
        <v>0</v>
      </c>
      <c r="H1380" s="84">
        <v>0</v>
      </c>
      <c r="I1380" s="84"/>
      <c r="J1380" s="84">
        <v>0</v>
      </c>
      <c r="K1380" s="84">
        <v>3315.1124411726946</v>
      </c>
      <c r="L1380" s="84">
        <v>83.887558827305256</v>
      </c>
      <c r="M1380" s="84">
        <v>0</v>
      </c>
      <c r="N1380" s="84">
        <v>0</v>
      </c>
    </row>
    <row r="1381" spans="1:14" x14ac:dyDescent="0.25">
      <c r="A1381" s="74" t="s">
        <v>3458</v>
      </c>
      <c r="B1381" s="74">
        <v>7317</v>
      </c>
      <c r="C1381" t="e">
        <f>VLOOKUP(B1381,'Waste Lookups'!$B$1:$C$292,2,FALSE)</f>
        <v>#N/A</v>
      </c>
      <c r="D1381" s="84">
        <v>0</v>
      </c>
      <c r="E1381" s="84">
        <v>0</v>
      </c>
      <c r="F1381" s="84">
        <v>99.065454545454543</v>
      </c>
      <c r="G1381" s="84">
        <v>0</v>
      </c>
      <c r="H1381" s="84">
        <v>0</v>
      </c>
      <c r="I1381" s="84"/>
      <c r="J1381" s="84">
        <v>0</v>
      </c>
      <c r="K1381" s="84">
        <v>0</v>
      </c>
      <c r="L1381" s="84">
        <v>0</v>
      </c>
      <c r="M1381" s="84">
        <v>0</v>
      </c>
      <c r="N1381" s="84">
        <v>0</v>
      </c>
    </row>
    <row r="1382" spans="1:14" x14ac:dyDescent="0.25">
      <c r="A1382" s="74" t="s">
        <v>3460</v>
      </c>
      <c r="B1382" s="74">
        <v>7320</v>
      </c>
      <c r="C1382" t="e">
        <f>VLOOKUP(B1382,'Waste Lookups'!$B$1:$C$292,2,FALSE)</f>
        <v>#N/A</v>
      </c>
      <c r="D1382" s="84">
        <v>0</v>
      </c>
      <c r="E1382" s="84">
        <v>4863.3599999999997</v>
      </c>
      <c r="F1382" s="84">
        <v>19.636363636363637</v>
      </c>
      <c r="G1382" s="84">
        <v>0</v>
      </c>
      <c r="H1382" s="84">
        <v>0</v>
      </c>
      <c r="I1382" s="84"/>
      <c r="J1382" s="84">
        <v>0</v>
      </c>
      <c r="K1382" s="84">
        <v>4744.8421654662106</v>
      </c>
      <c r="L1382" s="84">
        <v>19.157834533788495</v>
      </c>
      <c r="M1382" s="84">
        <v>0</v>
      </c>
      <c r="N1382" s="84">
        <v>0</v>
      </c>
    </row>
    <row r="1383" spans="1:14" x14ac:dyDescent="0.25">
      <c r="A1383" s="74" t="s">
        <v>3462</v>
      </c>
      <c r="B1383" s="74">
        <v>7322</v>
      </c>
      <c r="C1383" t="e">
        <f>VLOOKUP(B1383,'Waste Lookups'!$B$1:$C$292,2,FALSE)</f>
        <v>#N/A</v>
      </c>
      <c r="D1383" s="84">
        <v>0</v>
      </c>
      <c r="E1383" s="84">
        <v>0</v>
      </c>
      <c r="F1383" s="84">
        <v>0</v>
      </c>
      <c r="G1383" s="84">
        <v>0</v>
      </c>
      <c r="H1383" s="84">
        <v>0</v>
      </c>
      <c r="I1383" s="84"/>
      <c r="J1383" s="84">
        <v>0</v>
      </c>
      <c r="K1383" s="84">
        <v>0</v>
      </c>
      <c r="L1383" s="84">
        <v>0</v>
      </c>
      <c r="M1383" s="84">
        <v>0</v>
      </c>
      <c r="N1383" s="84">
        <v>0</v>
      </c>
    </row>
    <row r="1384" spans="1:14" x14ac:dyDescent="0.25">
      <c r="A1384" s="74" t="s">
        <v>3464</v>
      </c>
      <c r="B1384" s="74">
        <v>7324</v>
      </c>
      <c r="C1384" t="e">
        <f>VLOOKUP(B1384,'Waste Lookups'!$B$1:$C$292,2,FALSE)</f>
        <v>#N/A</v>
      </c>
      <c r="D1384" s="84">
        <v>116.5090909090909</v>
      </c>
      <c r="E1384" s="84">
        <v>5192.8581818181819</v>
      </c>
      <c r="F1384" s="84">
        <v>19.636363636363637</v>
      </c>
      <c r="G1384" s="84">
        <v>0</v>
      </c>
      <c r="H1384" s="84">
        <v>0</v>
      </c>
      <c r="I1384" s="84"/>
      <c r="J1384" s="84">
        <v>113.6667949526297</v>
      </c>
      <c r="K1384" s="84">
        <v>5066.1758800553534</v>
      </c>
      <c r="L1384" s="84">
        <v>19.157324992016243</v>
      </c>
      <c r="M1384" s="84">
        <v>0</v>
      </c>
      <c r="N1384" s="84">
        <v>0</v>
      </c>
    </row>
    <row r="1385" spans="1:14" x14ac:dyDescent="0.25">
      <c r="A1385" s="74" t="s">
        <v>3466</v>
      </c>
      <c r="B1385" s="74">
        <v>7326</v>
      </c>
      <c r="C1385" t="e">
        <f>VLOOKUP(B1385,'Waste Lookups'!$B$1:$C$292,2,FALSE)</f>
        <v>#N/A</v>
      </c>
      <c r="D1385" s="84">
        <v>0</v>
      </c>
      <c r="E1385" s="84">
        <v>0</v>
      </c>
      <c r="F1385" s="84">
        <v>99.076363636363624</v>
      </c>
      <c r="G1385" s="84">
        <v>0</v>
      </c>
      <c r="H1385" s="84">
        <v>0</v>
      </c>
      <c r="I1385" s="84"/>
      <c r="J1385" s="84">
        <v>0</v>
      </c>
      <c r="K1385" s="84">
        <v>0</v>
      </c>
      <c r="L1385" s="84">
        <v>0</v>
      </c>
      <c r="M1385" s="84">
        <v>0</v>
      </c>
      <c r="N1385" s="84">
        <v>0</v>
      </c>
    </row>
    <row r="1386" spans="1:14" x14ac:dyDescent="0.25">
      <c r="A1386" s="74" t="s">
        <v>3468</v>
      </c>
      <c r="B1386" s="74">
        <v>7328</v>
      </c>
      <c r="C1386" t="e">
        <f>VLOOKUP(B1386,'Waste Lookups'!$B$1:$C$292,2,FALSE)</f>
        <v>#N/A</v>
      </c>
      <c r="D1386" s="84">
        <v>0</v>
      </c>
      <c r="E1386" s="84">
        <v>3687.7636363636366</v>
      </c>
      <c r="F1386" s="84">
        <v>132.24</v>
      </c>
      <c r="G1386" s="84">
        <v>0</v>
      </c>
      <c r="H1386" s="84">
        <v>0</v>
      </c>
      <c r="I1386" s="84"/>
      <c r="J1386" s="84">
        <v>0</v>
      </c>
      <c r="K1386" s="84">
        <v>3597.9795783154896</v>
      </c>
      <c r="L1386" s="84">
        <v>129.02042168451055</v>
      </c>
      <c r="M1386" s="84">
        <v>0</v>
      </c>
      <c r="N1386" s="84">
        <v>0</v>
      </c>
    </row>
    <row r="1387" spans="1:14" x14ac:dyDescent="0.25">
      <c r="A1387" s="74" t="s">
        <v>3470</v>
      </c>
      <c r="B1387" s="74">
        <v>7329</v>
      </c>
      <c r="C1387" t="e">
        <f>VLOOKUP(B1387,'Waste Lookups'!$B$1:$C$292,2,FALSE)</f>
        <v>#N/A</v>
      </c>
      <c r="D1387" s="84">
        <v>0</v>
      </c>
      <c r="E1387" s="84">
        <v>258</v>
      </c>
      <c r="F1387" s="84">
        <v>0</v>
      </c>
      <c r="G1387" s="84">
        <v>0</v>
      </c>
      <c r="H1387" s="84">
        <v>0</v>
      </c>
      <c r="I1387" s="84"/>
      <c r="J1387" s="84">
        <v>0</v>
      </c>
      <c r="K1387" s="84">
        <v>252</v>
      </c>
      <c r="L1387" s="84">
        <v>0</v>
      </c>
      <c r="M1387" s="84">
        <v>0</v>
      </c>
      <c r="N1387" s="84">
        <v>0</v>
      </c>
    </row>
    <row r="1388" spans="1:14" x14ac:dyDescent="0.25">
      <c r="A1388" s="74" t="s">
        <v>3472</v>
      </c>
      <c r="B1388" s="74">
        <v>7331</v>
      </c>
      <c r="C1388" t="e">
        <f>VLOOKUP(B1388,'Waste Lookups'!$B$1:$C$292,2,FALSE)</f>
        <v>#N/A</v>
      </c>
      <c r="D1388" s="84">
        <v>0</v>
      </c>
      <c r="E1388" s="84">
        <v>2356.7236363636362</v>
      </c>
      <c r="F1388" s="84">
        <v>39.272727272727273</v>
      </c>
      <c r="G1388" s="84">
        <v>0</v>
      </c>
      <c r="H1388" s="84">
        <v>0</v>
      </c>
      <c r="I1388" s="84"/>
      <c r="J1388" s="84">
        <v>0</v>
      </c>
      <c r="K1388" s="84">
        <v>2299.6778899345722</v>
      </c>
      <c r="L1388" s="84">
        <v>38.322110065427331</v>
      </c>
      <c r="M1388" s="84">
        <v>0</v>
      </c>
      <c r="N1388" s="84">
        <v>0</v>
      </c>
    </row>
    <row r="1389" spans="1:14" x14ac:dyDescent="0.25">
      <c r="A1389" s="74" t="s">
        <v>3474</v>
      </c>
      <c r="B1389" s="74">
        <v>7333</v>
      </c>
      <c r="C1389" t="e">
        <f>VLOOKUP(B1389,'Waste Lookups'!$B$1:$C$292,2,FALSE)</f>
        <v>#N/A</v>
      </c>
      <c r="D1389" s="84">
        <v>0</v>
      </c>
      <c r="E1389" s="84">
        <v>2866.9963636363636</v>
      </c>
      <c r="F1389" s="84">
        <v>0</v>
      </c>
      <c r="G1389" s="84">
        <v>0</v>
      </c>
      <c r="H1389" s="84">
        <v>0</v>
      </c>
      <c r="I1389" s="84"/>
      <c r="J1389" s="84">
        <v>0</v>
      </c>
      <c r="K1389" s="84">
        <v>2797</v>
      </c>
      <c r="L1389" s="84">
        <v>0</v>
      </c>
      <c r="M1389" s="84">
        <v>0</v>
      </c>
      <c r="N1389" s="84">
        <v>0</v>
      </c>
    </row>
    <row r="1390" spans="1:14" x14ac:dyDescent="0.25">
      <c r="A1390" s="74" t="s">
        <v>3476</v>
      </c>
      <c r="B1390" s="74">
        <v>7344</v>
      </c>
      <c r="C1390" t="e">
        <f>VLOOKUP(B1390,'Waste Lookups'!$B$1:$C$292,2,FALSE)</f>
        <v>#N/A</v>
      </c>
      <c r="D1390" s="84">
        <v>1931.3018181818181</v>
      </c>
      <c r="E1390" s="84">
        <v>1878.7636363636364</v>
      </c>
      <c r="F1390" s="84">
        <v>0</v>
      </c>
      <c r="G1390" s="84">
        <v>0</v>
      </c>
      <c r="H1390" s="84">
        <v>0</v>
      </c>
      <c r="I1390" s="84"/>
      <c r="J1390" s="84">
        <v>2565.1201312504295</v>
      </c>
      <c r="K1390" s="84">
        <v>2495.3398687495705</v>
      </c>
      <c r="L1390" s="84">
        <v>0</v>
      </c>
      <c r="M1390" s="84">
        <v>0</v>
      </c>
      <c r="N1390" s="84">
        <v>0</v>
      </c>
    </row>
    <row r="1391" spans="1:14" x14ac:dyDescent="0.25">
      <c r="A1391" s="74" t="s">
        <v>3478</v>
      </c>
      <c r="B1391" s="74">
        <v>7346</v>
      </c>
      <c r="C1391" t="e">
        <f>VLOOKUP(B1391,'Waste Lookups'!$B$1:$C$292,2,FALSE)</f>
        <v>#N/A</v>
      </c>
      <c r="D1391" s="84">
        <v>936.9818181818182</v>
      </c>
      <c r="E1391" s="84">
        <v>0</v>
      </c>
      <c r="F1391" s="84">
        <v>0</v>
      </c>
      <c r="G1391" s="84">
        <v>0</v>
      </c>
      <c r="H1391" s="84">
        <v>0</v>
      </c>
      <c r="I1391" s="84"/>
      <c r="J1391" s="84">
        <v>0</v>
      </c>
      <c r="K1391" s="84">
        <v>0</v>
      </c>
      <c r="L1391" s="84">
        <v>0</v>
      </c>
      <c r="M1391" s="84">
        <v>0</v>
      </c>
      <c r="N1391" s="84">
        <v>0</v>
      </c>
    </row>
    <row r="1392" spans="1:14" x14ac:dyDescent="0.25">
      <c r="A1392" s="74" t="s">
        <v>3480</v>
      </c>
      <c r="B1392" s="74">
        <v>7347</v>
      </c>
      <c r="C1392" t="e">
        <f>VLOOKUP(B1392,'Waste Lookups'!$B$1:$C$292,2,FALSE)</f>
        <v>#N/A</v>
      </c>
      <c r="D1392" s="84">
        <v>2457.7854545454543</v>
      </c>
      <c r="E1392" s="84">
        <v>65.454545454545453</v>
      </c>
      <c r="F1392" s="84">
        <v>0</v>
      </c>
      <c r="G1392" s="84">
        <v>0</v>
      </c>
      <c r="H1392" s="84">
        <v>0</v>
      </c>
      <c r="I1392" s="84"/>
      <c r="J1392" s="84">
        <v>1979.8242837131481</v>
      </c>
      <c r="K1392" s="84">
        <v>52.725716286851977</v>
      </c>
      <c r="L1392" s="84">
        <v>0</v>
      </c>
      <c r="M1392" s="84">
        <v>0</v>
      </c>
      <c r="N1392" s="84">
        <v>0</v>
      </c>
    </row>
    <row r="1393" spans="1:14" x14ac:dyDescent="0.25">
      <c r="A1393" s="74" t="s">
        <v>3482</v>
      </c>
      <c r="B1393" s="74">
        <v>7348</v>
      </c>
      <c r="C1393" t="e">
        <f>VLOOKUP(B1393,'Waste Lookups'!$B$1:$C$292,2,FALSE)</f>
        <v>#N/A</v>
      </c>
      <c r="D1393" s="84">
        <v>42076.178181818184</v>
      </c>
      <c r="E1393" s="84">
        <v>1077.2072727272728</v>
      </c>
      <c r="F1393" s="84">
        <v>56.345454545454544</v>
      </c>
      <c r="G1393" s="84">
        <v>604.85454545454547</v>
      </c>
      <c r="H1393" s="84">
        <v>0</v>
      </c>
      <c r="I1393" s="84"/>
      <c r="J1393" s="84">
        <v>847.87926424749708</v>
      </c>
      <c r="K1393" s="84">
        <v>21.706860016975668</v>
      </c>
      <c r="L1393" s="84">
        <v>1.1354201975581233</v>
      </c>
      <c r="M1393" s="84">
        <v>12.18845553796905</v>
      </c>
      <c r="N1393" s="84">
        <v>0</v>
      </c>
    </row>
    <row r="1394" spans="1:14" x14ac:dyDescent="0.25">
      <c r="A1394" s="74" t="s">
        <v>3484</v>
      </c>
      <c r="B1394" s="74">
        <v>7349</v>
      </c>
      <c r="C1394" t="e">
        <f>VLOOKUP(B1394,'Waste Lookups'!$B$1:$C$292,2,FALSE)</f>
        <v>#N/A</v>
      </c>
      <c r="D1394" s="84">
        <v>0</v>
      </c>
      <c r="E1394" s="84">
        <v>417.93818181818182</v>
      </c>
      <c r="F1394" s="84">
        <v>0</v>
      </c>
      <c r="G1394" s="84">
        <v>0</v>
      </c>
      <c r="H1394" s="84">
        <v>0</v>
      </c>
      <c r="I1394" s="84"/>
      <c r="J1394" s="84">
        <v>0</v>
      </c>
      <c r="K1394" s="84">
        <v>98.62</v>
      </c>
      <c r="L1394" s="84">
        <v>0</v>
      </c>
      <c r="M1394" s="84">
        <v>0</v>
      </c>
      <c r="N1394" s="84">
        <v>0</v>
      </c>
    </row>
    <row r="1395" spans="1:14" x14ac:dyDescent="0.25">
      <c r="A1395" s="74" t="s">
        <v>3486</v>
      </c>
      <c r="B1395" s="74">
        <v>7350</v>
      </c>
      <c r="C1395" t="e">
        <f>VLOOKUP(B1395,'Waste Lookups'!$B$1:$C$292,2,FALSE)</f>
        <v>#N/A</v>
      </c>
      <c r="D1395" s="84">
        <v>825.99272727272728</v>
      </c>
      <c r="E1395" s="84">
        <v>1164.8836363636362</v>
      </c>
      <c r="F1395" s="84">
        <v>0</v>
      </c>
      <c r="G1395" s="84">
        <v>248.37818181818182</v>
      </c>
      <c r="H1395" s="84">
        <v>0</v>
      </c>
      <c r="I1395" s="84"/>
      <c r="J1395" s="84">
        <v>651.30551667356838</v>
      </c>
      <c r="K1395" s="84">
        <v>918.52520439431964</v>
      </c>
      <c r="L1395" s="84">
        <v>0</v>
      </c>
      <c r="M1395" s="84">
        <v>195.84927893211218</v>
      </c>
      <c r="N1395" s="84">
        <v>0</v>
      </c>
    </row>
    <row r="1396" spans="1:14" x14ac:dyDescent="0.25">
      <c r="A1396" s="74" t="s">
        <v>3488</v>
      </c>
      <c r="B1396" s="74">
        <v>7351</v>
      </c>
      <c r="C1396" t="e">
        <f>VLOOKUP(B1396,'Waste Lookups'!$B$1:$C$292,2,FALSE)</f>
        <v>#N/A</v>
      </c>
      <c r="D1396" s="84">
        <v>0</v>
      </c>
      <c r="E1396" s="84">
        <v>897.26181818181817</v>
      </c>
      <c r="F1396" s="84">
        <v>0</v>
      </c>
      <c r="G1396" s="84">
        <v>386.61818181818182</v>
      </c>
      <c r="H1396" s="84">
        <v>0</v>
      </c>
      <c r="I1396" s="84"/>
      <c r="J1396" s="84">
        <v>0</v>
      </c>
      <c r="K1396" s="84">
        <v>335.67297869809408</v>
      </c>
      <c r="L1396" s="84">
        <v>0</v>
      </c>
      <c r="M1396" s="84">
        <v>144.63702130190586</v>
      </c>
      <c r="N1396" s="84">
        <v>0</v>
      </c>
    </row>
    <row r="1397" spans="1:14" x14ac:dyDescent="0.25">
      <c r="A1397" s="74" t="s">
        <v>3490</v>
      </c>
      <c r="B1397" s="74">
        <v>7352</v>
      </c>
      <c r="C1397" t="e">
        <f>VLOOKUP(B1397,'Waste Lookups'!$B$1:$C$292,2,FALSE)</f>
        <v>#N/A</v>
      </c>
      <c r="D1397" s="84">
        <v>6.5454545454545446E-2</v>
      </c>
      <c r="E1397" s="84">
        <v>2734.2545454545457</v>
      </c>
      <c r="F1397" s="84">
        <v>0</v>
      </c>
      <c r="G1397" s="84">
        <v>684.90545454545463</v>
      </c>
      <c r="H1397" s="84">
        <v>0</v>
      </c>
      <c r="I1397" s="84"/>
      <c r="J1397" s="84">
        <v>4.5074897345172261E-2</v>
      </c>
      <c r="K1397" s="84">
        <v>1882.9287117656631</v>
      </c>
      <c r="L1397" s="84">
        <v>0</v>
      </c>
      <c r="M1397" s="84">
        <v>471.65621333699187</v>
      </c>
      <c r="N1397" s="84">
        <v>0</v>
      </c>
    </row>
    <row r="1398" spans="1:14" x14ac:dyDescent="0.25">
      <c r="A1398" s="74" t="s">
        <v>3492</v>
      </c>
      <c r="B1398" s="74">
        <v>7354</v>
      </c>
      <c r="C1398" t="e">
        <f>VLOOKUP(B1398,'Waste Lookups'!$B$1:$C$292,2,FALSE)</f>
        <v>#N/A</v>
      </c>
      <c r="D1398" s="84">
        <v>0</v>
      </c>
      <c r="E1398" s="84">
        <v>838.03636363636372</v>
      </c>
      <c r="F1398" s="84">
        <v>0</v>
      </c>
      <c r="G1398" s="84">
        <v>667.32</v>
      </c>
      <c r="H1398" s="84">
        <v>0</v>
      </c>
      <c r="I1398" s="84"/>
      <c r="J1398" s="84">
        <v>0</v>
      </c>
      <c r="K1398" s="84">
        <v>1225.8766484770747</v>
      </c>
      <c r="L1398" s="84">
        <v>0</v>
      </c>
      <c r="M1398" s="84">
        <v>976.1533515229255</v>
      </c>
      <c r="N1398" s="84">
        <v>0</v>
      </c>
    </row>
    <row r="1399" spans="1:14" x14ac:dyDescent="0.25">
      <c r="A1399" s="74" t="s">
        <v>3494</v>
      </c>
      <c r="B1399" s="74">
        <v>7356</v>
      </c>
      <c r="C1399" t="e">
        <f>VLOOKUP(B1399,'Waste Lookups'!$B$1:$C$292,2,FALSE)</f>
        <v>#N/A</v>
      </c>
      <c r="D1399" s="84">
        <v>22060.363636363636</v>
      </c>
      <c r="E1399" s="84">
        <v>1327.5272727272729</v>
      </c>
      <c r="F1399" s="84">
        <v>0</v>
      </c>
      <c r="G1399" s="84">
        <v>2122.0254545454545</v>
      </c>
      <c r="H1399" s="84">
        <v>0</v>
      </c>
      <c r="I1399" s="84"/>
      <c r="J1399" s="84">
        <v>1798.8465174398491</v>
      </c>
      <c r="K1399" s="84">
        <v>108.24924968215572</v>
      </c>
      <c r="L1399" s="84">
        <v>0</v>
      </c>
      <c r="M1399" s="84">
        <v>173.03423287799527</v>
      </c>
      <c r="N1399" s="84">
        <v>0</v>
      </c>
    </row>
    <row r="1400" spans="1:14" x14ac:dyDescent="0.25">
      <c r="A1400" s="74" t="s">
        <v>3496</v>
      </c>
      <c r="B1400" s="74">
        <v>7357</v>
      </c>
      <c r="C1400" t="e">
        <f>VLOOKUP(B1400,'Waste Lookups'!$B$1:$C$292,2,FALSE)</f>
        <v>#N/A</v>
      </c>
      <c r="D1400" s="84">
        <v>1920.1745454545458</v>
      </c>
      <c r="E1400" s="84">
        <v>1667.4327272727273</v>
      </c>
      <c r="F1400" s="84">
        <v>0</v>
      </c>
      <c r="G1400" s="84">
        <v>4198.4727272727268</v>
      </c>
      <c r="H1400" s="84">
        <v>0</v>
      </c>
      <c r="I1400" s="84"/>
      <c r="J1400" s="84">
        <v>798.99748003429909</v>
      </c>
      <c r="K1400" s="84">
        <v>693.82991789543303</v>
      </c>
      <c r="L1400" s="84">
        <v>0</v>
      </c>
      <c r="M1400" s="84">
        <v>1747.0126020702678</v>
      </c>
      <c r="N1400" s="84">
        <v>0</v>
      </c>
    </row>
    <row r="1401" spans="1:14" x14ac:dyDescent="0.25">
      <c r="A1401" s="74" t="s">
        <v>3498</v>
      </c>
      <c r="B1401" s="74">
        <v>7358</v>
      </c>
      <c r="C1401" t="e">
        <f>VLOOKUP(B1401,'Waste Lookups'!$B$1:$C$292,2,FALSE)</f>
        <v>#N/A</v>
      </c>
      <c r="D1401" s="84">
        <v>967.33090909090902</v>
      </c>
      <c r="E1401" s="84">
        <v>0</v>
      </c>
      <c r="F1401" s="84">
        <v>0</v>
      </c>
      <c r="G1401" s="84">
        <v>0</v>
      </c>
      <c r="H1401" s="84">
        <v>0</v>
      </c>
      <c r="I1401" s="84"/>
      <c r="J1401" s="84">
        <v>529.79999999999995</v>
      </c>
      <c r="K1401" s="84">
        <v>0</v>
      </c>
      <c r="L1401" s="84">
        <v>0</v>
      </c>
      <c r="M1401" s="84">
        <v>0</v>
      </c>
      <c r="N1401" s="84">
        <v>0</v>
      </c>
    </row>
    <row r="1402" spans="1:14" x14ac:dyDescent="0.25">
      <c r="A1402" s="74" t="s">
        <v>3500</v>
      </c>
      <c r="B1402" s="74">
        <v>7364</v>
      </c>
      <c r="C1402" t="e">
        <f>VLOOKUP(B1402,'Waste Lookups'!$B$1:$C$292,2,FALSE)</f>
        <v>#N/A</v>
      </c>
      <c r="D1402" s="84">
        <v>0</v>
      </c>
      <c r="E1402" s="84">
        <v>920.36727272727262</v>
      </c>
      <c r="F1402" s="84">
        <v>19.636363636363637</v>
      </c>
      <c r="G1402" s="84">
        <v>0</v>
      </c>
      <c r="H1402" s="84">
        <v>0</v>
      </c>
      <c r="I1402" s="84"/>
      <c r="J1402" s="84">
        <v>0</v>
      </c>
      <c r="K1402" s="84">
        <v>897.84417468404388</v>
      </c>
      <c r="L1402" s="84">
        <v>19.155825315956228</v>
      </c>
      <c r="M1402" s="84">
        <v>0</v>
      </c>
      <c r="N1402" s="84">
        <v>0</v>
      </c>
    </row>
    <row r="1403" spans="1:14" x14ac:dyDescent="0.25">
      <c r="A1403" s="74" t="s">
        <v>3502</v>
      </c>
      <c r="B1403" s="74">
        <v>7365</v>
      </c>
      <c r="C1403" t="e">
        <f>VLOOKUP(B1403,'Waste Lookups'!$B$1:$C$292,2,FALSE)</f>
        <v>#N/A</v>
      </c>
      <c r="D1403" s="84">
        <v>0</v>
      </c>
      <c r="E1403" s="84">
        <v>0</v>
      </c>
      <c r="F1403" s="84">
        <v>19.636363636363637</v>
      </c>
      <c r="G1403" s="84">
        <v>0</v>
      </c>
      <c r="H1403" s="84">
        <v>0</v>
      </c>
      <c r="I1403" s="84"/>
      <c r="J1403" s="84">
        <v>0</v>
      </c>
      <c r="K1403" s="84">
        <v>0</v>
      </c>
      <c r="L1403" s="84">
        <v>0</v>
      </c>
      <c r="M1403" s="84">
        <v>0</v>
      </c>
      <c r="N1403" s="84">
        <v>0</v>
      </c>
    </row>
    <row r="1404" spans="1:14" x14ac:dyDescent="0.25">
      <c r="A1404" s="74" t="s">
        <v>3504</v>
      </c>
      <c r="B1404" s="74">
        <v>7372</v>
      </c>
      <c r="C1404" t="e">
        <f>VLOOKUP(B1404,'Waste Lookups'!$B$1:$C$292,2,FALSE)</f>
        <v>#N/A</v>
      </c>
      <c r="D1404" s="84">
        <v>85.767272727272726</v>
      </c>
      <c r="E1404" s="84">
        <v>0</v>
      </c>
      <c r="F1404" s="84">
        <v>0</v>
      </c>
      <c r="G1404" s="84">
        <v>0</v>
      </c>
      <c r="H1404" s="84">
        <v>0</v>
      </c>
      <c r="I1404" s="84"/>
      <c r="J1404" s="84">
        <v>335.83</v>
      </c>
      <c r="K1404" s="84">
        <v>0</v>
      </c>
      <c r="L1404" s="84">
        <v>0</v>
      </c>
      <c r="M1404" s="84">
        <v>0</v>
      </c>
      <c r="N1404" s="84">
        <v>0</v>
      </c>
    </row>
    <row r="1405" spans="1:14" x14ac:dyDescent="0.25">
      <c r="A1405" s="74" t="s">
        <v>3506</v>
      </c>
      <c r="B1405" s="74">
        <v>7377</v>
      </c>
      <c r="C1405" t="e">
        <f>VLOOKUP(B1405,'Waste Lookups'!$B$1:$C$292,2,FALSE)</f>
        <v>#N/A</v>
      </c>
      <c r="D1405" s="84">
        <v>520.12363636363636</v>
      </c>
      <c r="E1405" s="84">
        <v>2206.3527272727274</v>
      </c>
      <c r="F1405" s="84">
        <v>0</v>
      </c>
      <c r="G1405" s="84">
        <v>543.26181818181817</v>
      </c>
      <c r="H1405" s="84">
        <v>0</v>
      </c>
      <c r="I1405" s="84"/>
      <c r="J1405" s="84">
        <v>299.23502178656503</v>
      </c>
      <c r="K1405" s="84">
        <v>1269.3482092644617</v>
      </c>
      <c r="L1405" s="84">
        <v>0</v>
      </c>
      <c r="M1405" s="84">
        <v>312.54676894897335</v>
      </c>
      <c r="N1405" s="84">
        <v>0</v>
      </c>
    </row>
    <row r="1406" spans="1:14" x14ac:dyDescent="0.25">
      <c r="A1406" s="74" t="s">
        <v>3508</v>
      </c>
      <c r="B1406" s="74">
        <v>7381</v>
      </c>
      <c r="C1406" t="e">
        <f>VLOOKUP(B1406,'Waste Lookups'!$B$1:$C$292,2,FALSE)</f>
        <v>#N/A</v>
      </c>
      <c r="D1406" s="84">
        <v>857.4545454545455</v>
      </c>
      <c r="E1406" s="84">
        <v>0</v>
      </c>
      <c r="F1406" s="84">
        <v>0</v>
      </c>
      <c r="G1406" s="84">
        <v>0</v>
      </c>
      <c r="H1406" s="84">
        <v>0</v>
      </c>
      <c r="I1406" s="84"/>
      <c r="J1406" s="84">
        <v>0</v>
      </c>
      <c r="K1406" s="84">
        <v>0</v>
      </c>
      <c r="L1406" s="84">
        <v>0</v>
      </c>
      <c r="M1406" s="84">
        <v>0</v>
      </c>
      <c r="N1406" s="84">
        <v>0</v>
      </c>
    </row>
    <row r="1407" spans="1:14" x14ac:dyDescent="0.25">
      <c r="A1407" s="74" t="s">
        <v>3510</v>
      </c>
      <c r="B1407" s="74">
        <v>7382</v>
      </c>
      <c r="C1407" t="e">
        <f>VLOOKUP(B1407,'Waste Lookups'!$B$1:$C$292,2,FALSE)</f>
        <v>#N/A</v>
      </c>
      <c r="D1407" s="84">
        <v>236.29090909090911</v>
      </c>
      <c r="E1407" s="84">
        <v>0</v>
      </c>
      <c r="F1407" s="84">
        <v>0</v>
      </c>
      <c r="G1407" s="84">
        <v>0</v>
      </c>
      <c r="H1407" s="84">
        <v>0</v>
      </c>
      <c r="I1407" s="84"/>
      <c r="J1407" s="84">
        <v>816.23</v>
      </c>
      <c r="K1407" s="84">
        <v>0</v>
      </c>
      <c r="L1407" s="84">
        <v>0</v>
      </c>
      <c r="M1407" s="84">
        <v>0</v>
      </c>
      <c r="N1407" s="84">
        <v>0</v>
      </c>
    </row>
    <row r="1408" spans="1:14" x14ac:dyDescent="0.25">
      <c r="A1408" s="74" t="s">
        <v>3512</v>
      </c>
      <c r="B1408" s="74">
        <v>7383</v>
      </c>
      <c r="C1408" t="e">
        <f>VLOOKUP(B1408,'Waste Lookups'!$B$1:$C$292,2,FALSE)</f>
        <v>#N/A</v>
      </c>
      <c r="D1408" s="84">
        <v>932.8145454545454</v>
      </c>
      <c r="E1408" s="84">
        <v>1047.349090909091</v>
      </c>
      <c r="F1408" s="84">
        <v>23.563636363636366</v>
      </c>
      <c r="G1408" s="84">
        <v>664.1018181818182</v>
      </c>
      <c r="H1408" s="84">
        <v>0</v>
      </c>
      <c r="I1408" s="84"/>
      <c r="J1408" s="84">
        <v>401.37371493062795</v>
      </c>
      <c r="K1408" s="84">
        <v>450.65591815204198</v>
      </c>
      <c r="L1408" s="84">
        <v>10.139018854962769</v>
      </c>
      <c r="M1408" s="84">
        <v>285.75134806236736</v>
      </c>
      <c r="N1408" s="84">
        <v>0</v>
      </c>
    </row>
    <row r="1409" spans="1:14" x14ac:dyDescent="0.25">
      <c r="A1409" s="74" t="s">
        <v>3514</v>
      </c>
      <c r="B1409" s="74">
        <v>7385</v>
      </c>
      <c r="C1409" t="e">
        <f>VLOOKUP(B1409,'Waste Lookups'!$B$1:$C$292,2,FALSE)</f>
        <v>#N/A</v>
      </c>
      <c r="D1409" s="84">
        <v>247.44</v>
      </c>
      <c r="E1409" s="84">
        <v>735.5454545454545</v>
      </c>
      <c r="F1409" s="84">
        <v>0</v>
      </c>
      <c r="G1409" s="84">
        <v>836.56363636363642</v>
      </c>
      <c r="H1409" s="84">
        <v>0</v>
      </c>
      <c r="I1409" s="84"/>
      <c r="J1409" s="84">
        <v>129.56150091131471</v>
      </c>
      <c r="K1409" s="84">
        <v>385.1372982517147</v>
      </c>
      <c r="L1409" s="84">
        <v>0</v>
      </c>
      <c r="M1409" s="84">
        <v>438.03120083697064</v>
      </c>
      <c r="N1409" s="84">
        <v>0</v>
      </c>
    </row>
    <row r="1410" spans="1:14" x14ac:dyDescent="0.25">
      <c r="A1410" s="74" t="s">
        <v>3516</v>
      </c>
      <c r="B1410" s="74">
        <v>7386</v>
      </c>
      <c r="C1410" t="e">
        <f>VLOOKUP(B1410,'Waste Lookups'!$B$1:$C$292,2,FALSE)</f>
        <v>#N/A</v>
      </c>
      <c r="D1410" s="84">
        <v>927.46909090909082</v>
      </c>
      <c r="E1410" s="84">
        <v>489.41454545454542</v>
      </c>
      <c r="F1410" s="84">
        <v>0</v>
      </c>
      <c r="G1410" s="84">
        <v>0</v>
      </c>
      <c r="H1410" s="84">
        <v>0</v>
      </c>
      <c r="I1410" s="84"/>
      <c r="J1410" s="84">
        <v>4047.3768013797244</v>
      </c>
      <c r="K1410" s="84">
        <v>2135.7531986202753</v>
      </c>
      <c r="L1410" s="84">
        <v>0</v>
      </c>
      <c r="M1410" s="84">
        <v>0</v>
      </c>
      <c r="N1410" s="84">
        <v>0</v>
      </c>
    </row>
    <row r="1411" spans="1:14" x14ac:dyDescent="0.25">
      <c r="A1411" s="74" t="s">
        <v>3518</v>
      </c>
      <c r="B1411" s="74">
        <v>7398</v>
      </c>
      <c r="C1411" t="e">
        <f>VLOOKUP(B1411,'Waste Lookups'!$B$1:$C$292,2,FALSE)</f>
        <v>#N/A</v>
      </c>
      <c r="D1411" s="84">
        <v>19.636363636363637</v>
      </c>
      <c r="E1411" s="84">
        <v>0</v>
      </c>
      <c r="F1411" s="84">
        <v>0</v>
      </c>
      <c r="G1411" s="84">
        <v>0</v>
      </c>
      <c r="H1411" s="84">
        <v>0</v>
      </c>
      <c r="I1411" s="84"/>
      <c r="J1411" s="84">
        <v>18</v>
      </c>
      <c r="K1411" s="84">
        <v>0</v>
      </c>
      <c r="L1411" s="84">
        <v>0</v>
      </c>
      <c r="M1411" s="84">
        <v>0</v>
      </c>
      <c r="N1411" s="84">
        <v>0</v>
      </c>
    </row>
    <row r="1412" spans="1:14" x14ac:dyDescent="0.25">
      <c r="A1412" s="74" t="s">
        <v>3520</v>
      </c>
      <c r="B1412" s="74">
        <v>7399</v>
      </c>
      <c r="C1412" t="e">
        <f>VLOOKUP(B1412,'Waste Lookups'!$B$1:$C$292,2,FALSE)</f>
        <v>#N/A</v>
      </c>
      <c r="D1412" s="84">
        <v>19.636363636363637</v>
      </c>
      <c r="E1412" s="84">
        <v>0</v>
      </c>
      <c r="F1412" s="84">
        <v>0</v>
      </c>
      <c r="G1412" s="84">
        <v>0</v>
      </c>
      <c r="H1412" s="84">
        <v>0</v>
      </c>
      <c r="I1412" s="84"/>
      <c r="J1412" s="84">
        <v>-52.72</v>
      </c>
      <c r="K1412" s="84">
        <v>0</v>
      </c>
      <c r="L1412" s="84">
        <v>0</v>
      </c>
      <c r="M1412" s="84">
        <v>0</v>
      </c>
      <c r="N1412" s="84">
        <v>0</v>
      </c>
    </row>
    <row r="1413" spans="1:14" x14ac:dyDescent="0.25">
      <c r="A1413" s="74" t="s">
        <v>3522</v>
      </c>
      <c r="B1413" s="74">
        <v>7400</v>
      </c>
      <c r="C1413" t="e">
        <f>VLOOKUP(B1413,'Waste Lookups'!$B$1:$C$292,2,FALSE)</f>
        <v>#N/A</v>
      </c>
      <c r="D1413" s="84">
        <v>3380.9454545454546</v>
      </c>
      <c r="E1413" s="84">
        <v>1144.5818181818183</v>
      </c>
      <c r="F1413" s="84">
        <v>0</v>
      </c>
      <c r="G1413" s="84">
        <v>0</v>
      </c>
      <c r="H1413" s="84">
        <v>0</v>
      </c>
      <c r="I1413" s="84"/>
      <c r="J1413" s="84">
        <v>3615.0011917847842</v>
      </c>
      <c r="K1413" s="84">
        <v>1223.8188082152155</v>
      </c>
      <c r="L1413" s="84">
        <v>0</v>
      </c>
      <c r="M1413" s="84">
        <v>0</v>
      </c>
      <c r="N1413" s="84">
        <v>0</v>
      </c>
    </row>
    <row r="1414" spans="1:14" x14ac:dyDescent="0.25">
      <c r="A1414" s="74" t="s">
        <v>3524</v>
      </c>
      <c r="B1414" s="74">
        <v>7401</v>
      </c>
      <c r="C1414" t="e">
        <f>VLOOKUP(B1414,'Waste Lookups'!$B$1:$C$292,2,FALSE)</f>
        <v>#N/A</v>
      </c>
      <c r="D1414" s="84">
        <v>2922.4254545454546</v>
      </c>
      <c r="E1414" s="84">
        <v>936</v>
      </c>
      <c r="F1414" s="84">
        <v>0</v>
      </c>
      <c r="G1414" s="84">
        <v>694.73454545454547</v>
      </c>
      <c r="H1414" s="84">
        <v>0</v>
      </c>
      <c r="I1414" s="84"/>
      <c r="J1414" s="84">
        <v>2852.3744319349835</v>
      </c>
      <c r="K1414" s="84">
        <v>913.56392483462037</v>
      </c>
      <c r="L1414" s="84">
        <v>0</v>
      </c>
      <c r="M1414" s="84">
        <v>678.0816432303958</v>
      </c>
      <c r="N1414" s="84">
        <v>0</v>
      </c>
    </row>
    <row r="1415" spans="1:14" x14ac:dyDescent="0.25">
      <c r="A1415" s="74" t="s">
        <v>3526</v>
      </c>
      <c r="B1415" s="74">
        <v>7402</v>
      </c>
      <c r="C1415" t="e">
        <f>VLOOKUP(B1415,'Waste Lookups'!$B$1:$C$292,2,FALSE)</f>
        <v>#N/A</v>
      </c>
      <c r="D1415" s="84">
        <v>19.636363636363637</v>
      </c>
      <c r="E1415" s="84">
        <v>2256.4363636363637</v>
      </c>
      <c r="F1415" s="84">
        <v>0</v>
      </c>
      <c r="G1415" s="84">
        <v>0</v>
      </c>
      <c r="H1415" s="84">
        <v>0</v>
      </c>
      <c r="I1415" s="84"/>
      <c r="J1415" s="84">
        <v>16.833588957055216</v>
      </c>
      <c r="K1415" s="84">
        <v>1934.3664110429449</v>
      </c>
      <c r="L1415" s="84">
        <v>0</v>
      </c>
      <c r="M1415" s="84">
        <v>0</v>
      </c>
      <c r="N1415" s="84">
        <v>0</v>
      </c>
    </row>
    <row r="1416" spans="1:14" x14ac:dyDescent="0.25">
      <c r="A1416" s="74" t="s">
        <v>3528</v>
      </c>
      <c r="B1416" s="74">
        <v>7406</v>
      </c>
      <c r="C1416" t="e">
        <f>VLOOKUP(B1416,'Waste Lookups'!$B$1:$C$292,2,FALSE)</f>
        <v>#N/A</v>
      </c>
      <c r="D1416" s="84">
        <v>5095.352727272727</v>
      </c>
      <c r="E1416" s="84">
        <v>1872</v>
      </c>
      <c r="F1416" s="84">
        <v>0</v>
      </c>
      <c r="G1416" s="84">
        <v>694.73454545454547</v>
      </c>
      <c r="H1416" s="84">
        <v>0</v>
      </c>
      <c r="I1416" s="84"/>
      <c r="J1416" s="84">
        <v>3005.1399034395563</v>
      </c>
      <c r="K1416" s="84">
        <v>1104.0691783962025</v>
      </c>
      <c r="L1416" s="84">
        <v>0</v>
      </c>
      <c r="M1416" s="84">
        <v>409.74091816424101</v>
      </c>
      <c r="N1416" s="84">
        <v>0</v>
      </c>
    </row>
    <row r="1417" spans="1:14" x14ac:dyDescent="0.25">
      <c r="A1417" s="74" t="s">
        <v>3530</v>
      </c>
      <c r="B1417" s="74">
        <v>7409</v>
      </c>
      <c r="C1417" t="e">
        <f>VLOOKUP(B1417,'Waste Lookups'!$B$1:$C$292,2,FALSE)</f>
        <v>#N/A</v>
      </c>
      <c r="D1417" s="84">
        <v>2667.5236363636363</v>
      </c>
      <c r="E1417" s="84">
        <v>2965.7127272727275</v>
      </c>
      <c r="F1417" s="84">
        <v>0</v>
      </c>
      <c r="G1417" s="84">
        <v>174.74181818181819</v>
      </c>
      <c r="H1417" s="84">
        <v>0</v>
      </c>
      <c r="I1417" s="84"/>
      <c r="J1417" s="84">
        <v>1678.0339090492448</v>
      </c>
      <c r="K1417" s="84">
        <v>1865.6129051762025</v>
      </c>
      <c r="L1417" s="84">
        <v>0</v>
      </c>
      <c r="M1417" s="84">
        <v>109.92318577455211</v>
      </c>
      <c r="N1417" s="84">
        <v>0</v>
      </c>
    </row>
    <row r="1418" spans="1:14" x14ac:dyDescent="0.25">
      <c r="A1418" s="74" t="s">
        <v>3532</v>
      </c>
      <c r="B1418" s="74">
        <v>7410</v>
      </c>
      <c r="C1418" t="e">
        <f>VLOOKUP(B1418,'Waste Lookups'!$B$1:$C$292,2,FALSE)</f>
        <v>#N/A</v>
      </c>
      <c r="D1418" s="84">
        <v>19.636363636363637</v>
      </c>
      <c r="E1418" s="84">
        <v>968.72727272727275</v>
      </c>
      <c r="F1418" s="84">
        <v>0</v>
      </c>
      <c r="G1418" s="84">
        <v>0</v>
      </c>
      <c r="H1418" s="84">
        <v>0</v>
      </c>
      <c r="I1418" s="84"/>
      <c r="J1418" s="84">
        <v>16.450331125827816</v>
      </c>
      <c r="K1418" s="84">
        <v>811.5496688741722</v>
      </c>
      <c r="L1418" s="84">
        <v>0</v>
      </c>
      <c r="M1418" s="84">
        <v>0</v>
      </c>
      <c r="N1418" s="84">
        <v>0</v>
      </c>
    </row>
    <row r="1419" spans="1:14" x14ac:dyDescent="0.25">
      <c r="A1419" s="74" t="s">
        <v>3534</v>
      </c>
      <c r="B1419" s="74">
        <v>7412</v>
      </c>
      <c r="C1419" t="e">
        <f>VLOOKUP(B1419,'Waste Lookups'!$B$1:$C$292,2,FALSE)</f>
        <v>#N/A</v>
      </c>
      <c r="D1419" s="84">
        <v>3280.570909090909</v>
      </c>
      <c r="E1419" s="84">
        <v>3776.727272727273</v>
      </c>
      <c r="F1419" s="84">
        <v>0</v>
      </c>
      <c r="G1419" s="84">
        <v>1349.4763636363637</v>
      </c>
      <c r="H1419" s="84">
        <v>0</v>
      </c>
      <c r="I1419" s="84"/>
      <c r="J1419" s="84">
        <v>2416.7884689750217</v>
      </c>
      <c r="K1419" s="84">
        <v>2782.3056340276225</v>
      </c>
      <c r="L1419" s="84">
        <v>0</v>
      </c>
      <c r="M1419" s="84">
        <v>994.15589699735688</v>
      </c>
      <c r="N1419" s="84">
        <v>0</v>
      </c>
    </row>
    <row r="1420" spans="1:14" x14ac:dyDescent="0.25">
      <c r="A1420" s="74" t="s">
        <v>3536</v>
      </c>
      <c r="B1420" s="74">
        <v>7447</v>
      </c>
      <c r="C1420" t="e">
        <f>VLOOKUP(B1420,'Waste Lookups'!$B$1:$C$292,2,FALSE)</f>
        <v>#N/A</v>
      </c>
      <c r="D1420" s="84">
        <v>1814.8145454545452</v>
      </c>
      <c r="E1420" s="84">
        <v>4112.2145454545453</v>
      </c>
      <c r="F1420" s="84">
        <v>695.55272727272734</v>
      </c>
      <c r="G1420" s="84">
        <v>55.014545454545456</v>
      </c>
      <c r="H1420" s="84">
        <v>0</v>
      </c>
      <c r="I1420" s="84"/>
      <c r="J1420" s="84">
        <v>3298.302758869685</v>
      </c>
      <c r="K1420" s="84">
        <v>7473.6719596545072</v>
      </c>
      <c r="L1420" s="84">
        <v>1264.1200639751157</v>
      </c>
      <c r="M1420" s="84">
        <v>99.985217500690226</v>
      </c>
      <c r="N1420" s="84">
        <v>0</v>
      </c>
    </row>
    <row r="1421" spans="1:14" x14ac:dyDescent="0.25">
      <c r="A1421" s="74" t="s">
        <v>3538</v>
      </c>
      <c r="B1421" s="74">
        <v>7448</v>
      </c>
      <c r="C1421" t="e">
        <f>VLOOKUP(B1421,'Waste Lookups'!$B$1:$C$292,2,FALSE)</f>
        <v>#N/A</v>
      </c>
      <c r="D1421" s="84">
        <v>1884.7090909090909</v>
      </c>
      <c r="E1421" s="84">
        <v>5159.1381818181817</v>
      </c>
      <c r="F1421" s="84">
        <v>647.37818181818182</v>
      </c>
      <c r="G1421" s="84">
        <v>0</v>
      </c>
      <c r="H1421" s="84">
        <v>0</v>
      </c>
      <c r="I1421" s="84"/>
      <c r="J1421" s="84">
        <v>3188.1697375568947</v>
      </c>
      <c r="K1421" s="84">
        <v>8727.1867592113231</v>
      </c>
      <c r="L1421" s="84">
        <v>1095.103503231782</v>
      </c>
      <c r="M1421" s="84">
        <v>0</v>
      </c>
      <c r="N1421" s="84">
        <v>0</v>
      </c>
    </row>
    <row r="1422" spans="1:14" x14ac:dyDescent="0.25">
      <c r="A1422" s="74" t="s">
        <v>3540</v>
      </c>
      <c r="B1422" s="74">
        <v>7449</v>
      </c>
      <c r="C1422" t="e">
        <f>VLOOKUP(B1422,'Waste Lookups'!$B$1:$C$292,2,FALSE)</f>
        <v>#N/A</v>
      </c>
      <c r="D1422" s="84">
        <v>1701.2290909090912</v>
      </c>
      <c r="E1422" s="84">
        <v>712.01454545454544</v>
      </c>
      <c r="F1422" s="84">
        <v>619.17818181818188</v>
      </c>
      <c r="G1422" s="84">
        <v>0</v>
      </c>
      <c r="H1422" s="84">
        <v>0</v>
      </c>
      <c r="I1422" s="84"/>
      <c r="J1422" s="84">
        <v>3913.3541596275886</v>
      </c>
      <c r="K1422" s="84">
        <v>1637.8541244441885</v>
      </c>
      <c r="L1422" s="84">
        <v>1424.3017159282231</v>
      </c>
      <c r="M1422" s="84">
        <v>0</v>
      </c>
      <c r="N1422" s="84">
        <v>0</v>
      </c>
    </row>
    <row r="1423" spans="1:14" x14ac:dyDescent="0.25">
      <c r="A1423" s="74" t="s">
        <v>3542</v>
      </c>
      <c r="B1423" s="74">
        <v>7450</v>
      </c>
      <c r="C1423" t="e">
        <f>VLOOKUP(B1423,'Waste Lookups'!$B$1:$C$292,2,FALSE)</f>
        <v>#N/A</v>
      </c>
      <c r="D1423" s="84">
        <v>1063.6363636363637</v>
      </c>
      <c r="E1423" s="84">
        <v>9156.0545454545445</v>
      </c>
      <c r="F1423" s="84">
        <v>19.636363636363637</v>
      </c>
      <c r="G1423" s="84">
        <v>0</v>
      </c>
      <c r="H1423" s="84">
        <v>0</v>
      </c>
      <c r="I1423" s="84"/>
      <c r="J1423" s="84">
        <v>960.35637994683611</v>
      </c>
      <c r="K1423" s="84">
        <v>8266.9939638079904</v>
      </c>
      <c r="L1423" s="84">
        <v>17.729656245172357</v>
      </c>
      <c r="M1423" s="84">
        <v>0</v>
      </c>
      <c r="N1423" s="84">
        <v>0</v>
      </c>
    </row>
    <row r="1424" spans="1:14" x14ac:dyDescent="0.25">
      <c r="A1424" s="74" t="s">
        <v>3544</v>
      </c>
      <c r="B1424" s="74">
        <v>7451</v>
      </c>
      <c r="C1424" t="e">
        <f>VLOOKUP(B1424,'Waste Lookups'!$B$1:$C$292,2,FALSE)</f>
        <v>#N/A</v>
      </c>
      <c r="D1424" s="84">
        <v>1520.5963636363638</v>
      </c>
      <c r="E1424" s="84">
        <v>1178.1818181818182</v>
      </c>
      <c r="F1424" s="84">
        <v>622.69090909090903</v>
      </c>
      <c r="G1424" s="84">
        <v>0</v>
      </c>
      <c r="H1424" s="84">
        <v>0</v>
      </c>
      <c r="I1424" s="84"/>
      <c r="J1424" s="84">
        <v>3603.8446293206512</v>
      </c>
      <c r="K1424" s="84">
        <v>2792.3151201439891</v>
      </c>
      <c r="L1424" s="84">
        <v>1475.7902505353597</v>
      </c>
      <c r="M1424" s="84">
        <v>0</v>
      </c>
      <c r="N1424" s="84">
        <v>0</v>
      </c>
    </row>
    <row r="1425" spans="1:14" x14ac:dyDescent="0.25">
      <c r="A1425" s="74" t="s">
        <v>3546</v>
      </c>
      <c r="B1425" s="74">
        <v>7452</v>
      </c>
      <c r="C1425" t="e">
        <f>VLOOKUP(B1425,'Waste Lookups'!$B$1:$C$292,2,FALSE)</f>
        <v>#N/A</v>
      </c>
      <c r="D1425" s="84">
        <v>1461.9381818181816</v>
      </c>
      <c r="E1425" s="84">
        <v>2094.5454545454545</v>
      </c>
      <c r="F1425" s="84">
        <v>638.31272727272733</v>
      </c>
      <c r="G1425" s="84">
        <v>0</v>
      </c>
      <c r="H1425" s="84">
        <v>0</v>
      </c>
      <c r="I1425" s="84"/>
      <c r="J1425" s="84">
        <v>3501.6530655643492</v>
      </c>
      <c r="K1425" s="84">
        <v>5016.8821110830831</v>
      </c>
      <c r="L1425" s="84">
        <v>1528.8948233525696</v>
      </c>
      <c r="M1425" s="84">
        <v>0</v>
      </c>
      <c r="N1425" s="84">
        <v>0</v>
      </c>
    </row>
    <row r="1426" spans="1:14" x14ac:dyDescent="0.25">
      <c r="A1426" s="74" t="s">
        <v>806</v>
      </c>
      <c r="B1426" s="74">
        <v>7453</v>
      </c>
      <c r="C1426" t="str">
        <f>VLOOKUP(B1426,'Waste Lookups'!$B$1:$C$292,2,FALSE)</f>
        <v>Sovereign Court</v>
      </c>
      <c r="D1426" s="84">
        <v>0</v>
      </c>
      <c r="E1426" s="84">
        <v>0</v>
      </c>
      <c r="F1426" s="84">
        <v>23.563636363636366</v>
      </c>
      <c r="G1426" s="84">
        <v>0</v>
      </c>
      <c r="H1426" s="84">
        <v>0</v>
      </c>
      <c r="I1426" s="84"/>
      <c r="J1426" s="84">
        <v>0</v>
      </c>
      <c r="K1426" s="84">
        <v>0</v>
      </c>
      <c r="L1426" s="84">
        <v>85.82</v>
      </c>
      <c r="M1426" s="84">
        <v>0</v>
      </c>
      <c r="N1426" s="84">
        <v>0</v>
      </c>
    </row>
    <row r="1427" spans="1:14" x14ac:dyDescent="0.25">
      <c r="A1427" s="74" t="s">
        <v>3549</v>
      </c>
      <c r="B1427" s="74">
        <v>7454</v>
      </c>
      <c r="C1427" t="e">
        <f>VLOOKUP(B1427,'Waste Lookups'!$B$1:$C$292,2,FALSE)</f>
        <v>#N/A</v>
      </c>
      <c r="D1427" s="84">
        <v>1435.7454545454545</v>
      </c>
      <c r="E1427" s="84">
        <v>2563.8763636363633</v>
      </c>
      <c r="F1427" s="84">
        <v>512.9345454545454</v>
      </c>
      <c r="G1427" s="84">
        <v>0</v>
      </c>
      <c r="H1427" s="84">
        <v>0</v>
      </c>
      <c r="I1427" s="84"/>
      <c r="J1427" s="84">
        <v>3322.3927973098093</v>
      </c>
      <c r="K1427" s="84">
        <v>5932.9488641390926</v>
      </c>
      <c r="L1427" s="84">
        <v>1186.9583385510973</v>
      </c>
      <c r="M1427" s="84">
        <v>0</v>
      </c>
      <c r="N1427" s="84">
        <v>0</v>
      </c>
    </row>
    <row r="1428" spans="1:14" x14ac:dyDescent="0.25">
      <c r="A1428" s="74" t="s">
        <v>3551</v>
      </c>
      <c r="B1428" s="74">
        <v>7455</v>
      </c>
      <c r="C1428" t="e">
        <f>VLOOKUP(B1428,'Waste Lookups'!$B$1:$C$292,2,FALSE)</f>
        <v>#N/A</v>
      </c>
      <c r="D1428" s="84">
        <v>858.26181818181817</v>
      </c>
      <c r="E1428" s="84">
        <v>1610.3781818181819</v>
      </c>
      <c r="F1428" s="84">
        <v>487.37454545454545</v>
      </c>
      <c r="G1428" s="84">
        <v>277.42909090909092</v>
      </c>
      <c r="H1428" s="84">
        <v>0</v>
      </c>
      <c r="I1428" s="84"/>
      <c r="J1428" s="84">
        <v>2170.8496628531134</v>
      </c>
      <c r="K1428" s="84">
        <v>4073.2196854240397</v>
      </c>
      <c r="L1428" s="84">
        <v>1232.7437214025686</v>
      </c>
      <c r="M1428" s="84">
        <v>701.71693032027758</v>
      </c>
      <c r="N1428" s="84">
        <v>0</v>
      </c>
    </row>
    <row r="1429" spans="1:14" x14ac:dyDescent="0.25">
      <c r="A1429" s="74" t="s">
        <v>3553</v>
      </c>
      <c r="B1429" s="74">
        <v>7456</v>
      </c>
      <c r="C1429" t="e">
        <f>VLOOKUP(B1429,'Waste Lookups'!$B$1:$C$292,2,FALSE)</f>
        <v>#N/A</v>
      </c>
      <c r="D1429" s="84">
        <v>2741.3781818181815</v>
      </c>
      <c r="E1429" s="84">
        <v>10935.621818181819</v>
      </c>
      <c r="F1429" s="84">
        <v>470.78181818181821</v>
      </c>
      <c r="G1429" s="84">
        <v>0</v>
      </c>
      <c r="H1429" s="84">
        <v>0</v>
      </c>
      <c r="I1429" s="84"/>
      <c r="J1429" s="84">
        <v>2933.5737256415396</v>
      </c>
      <c r="K1429" s="84">
        <v>11702.308368885326</v>
      </c>
      <c r="L1429" s="84">
        <v>503.7879054731356</v>
      </c>
      <c r="M1429" s="84">
        <v>0</v>
      </c>
      <c r="N1429" s="84">
        <v>0</v>
      </c>
    </row>
    <row r="1430" spans="1:14" x14ac:dyDescent="0.25">
      <c r="A1430" s="74" t="s">
        <v>3555</v>
      </c>
      <c r="B1430" s="74">
        <v>7469</v>
      </c>
      <c r="C1430" t="e">
        <f>VLOOKUP(B1430,'Waste Lookups'!$B$1:$C$292,2,FALSE)</f>
        <v>#N/A</v>
      </c>
      <c r="D1430" s="84">
        <v>446.88</v>
      </c>
      <c r="E1430" s="84">
        <v>0</v>
      </c>
      <c r="F1430" s="84">
        <v>0</v>
      </c>
      <c r="G1430" s="84">
        <v>0</v>
      </c>
      <c r="H1430" s="84">
        <v>0</v>
      </c>
      <c r="I1430" s="84"/>
      <c r="J1430" s="84">
        <v>882.83</v>
      </c>
      <c r="K1430" s="84">
        <v>0</v>
      </c>
      <c r="L1430" s="84">
        <v>0</v>
      </c>
      <c r="M1430" s="84">
        <v>0</v>
      </c>
      <c r="N1430" s="84">
        <v>0</v>
      </c>
    </row>
    <row r="1431" spans="1:14" x14ac:dyDescent="0.25">
      <c r="A1431" s="74" t="s">
        <v>3557</v>
      </c>
      <c r="B1431" s="74">
        <v>7471</v>
      </c>
      <c r="C1431" t="e">
        <f>VLOOKUP(B1431,'Waste Lookups'!$B$1:$C$292,2,FALSE)</f>
        <v>#N/A</v>
      </c>
      <c r="D1431" s="84">
        <v>2304.1200000000003</v>
      </c>
      <c r="E1431" s="84">
        <v>0</v>
      </c>
      <c r="F1431" s="84">
        <v>0</v>
      </c>
      <c r="G1431" s="84">
        <v>0</v>
      </c>
      <c r="H1431" s="84">
        <v>0</v>
      </c>
      <c r="I1431" s="84"/>
      <c r="J1431" s="84">
        <v>1033.8800000000001</v>
      </c>
      <c r="K1431" s="84">
        <v>0</v>
      </c>
      <c r="L1431" s="84">
        <v>0</v>
      </c>
      <c r="M1431" s="84">
        <v>0</v>
      </c>
      <c r="N1431" s="84">
        <v>0</v>
      </c>
    </row>
    <row r="1432" spans="1:14" x14ac:dyDescent="0.25">
      <c r="A1432" s="74" t="s">
        <v>3559</v>
      </c>
      <c r="B1432" s="74">
        <v>7472</v>
      </c>
      <c r="C1432" t="e">
        <f>VLOOKUP(B1432,'Waste Lookups'!$B$1:$C$292,2,FALSE)</f>
        <v>#N/A</v>
      </c>
      <c r="D1432" s="84">
        <v>7973.7163636363639</v>
      </c>
      <c r="E1432" s="84">
        <v>1906.5163636363636</v>
      </c>
      <c r="F1432" s="84">
        <v>0</v>
      </c>
      <c r="G1432" s="84">
        <v>609.19636363636369</v>
      </c>
      <c r="H1432" s="84">
        <v>0</v>
      </c>
      <c r="I1432" s="84"/>
      <c r="J1432" s="84">
        <v>6311.4373793460627</v>
      </c>
      <c r="K1432" s="84">
        <v>1509.0652956586941</v>
      </c>
      <c r="L1432" s="84">
        <v>0</v>
      </c>
      <c r="M1432" s="84">
        <v>482.19732499524196</v>
      </c>
      <c r="N1432" s="84">
        <v>0</v>
      </c>
    </row>
    <row r="1433" spans="1:14" x14ac:dyDescent="0.25">
      <c r="A1433" s="74" t="s">
        <v>3561</v>
      </c>
      <c r="B1433" s="74">
        <v>7476</v>
      </c>
      <c r="C1433" t="e">
        <f>VLOOKUP(B1433,'Waste Lookups'!$B$1:$C$292,2,FALSE)</f>
        <v>#N/A</v>
      </c>
      <c r="D1433" s="84">
        <v>0</v>
      </c>
      <c r="E1433" s="84">
        <v>0</v>
      </c>
      <c r="F1433" s="84">
        <v>19.636363636363637</v>
      </c>
      <c r="G1433" s="84">
        <v>0</v>
      </c>
      <c r="H1433" s="84">
        <v>0</v>
      </c>
      <c r="I1433" s="84"/>
      <c r="J1433" s="84">
        <v>0</v>
      </c>
      <c r="K1433" s="84">
        <v>0</v>
      </c>
      <c r="L1433" s="84">
        <v>0</v>
      </c>
      <c r="M1433" s="84">
        <v>0</v>
      </c>
      <c r="N1433" s="84">
        <v>0</v>
      </c>
    </row>
    <row r="1434" spans="1:14" x14ac:dyDescent="0.25">
      <c r="A1434" s="74" t="s">
        <v>3563</v>
      </c>
      <c r="B1434" s="74">
        <v>7477</v>
      </c>
      <c r="C1434" t="e">
        <f>VLOOKUP(B1434,'Waste Lookups'!$B$1:$C$292,2,FALSE)</f>
        <v>#N/A</v>
      </c>
      <c r="D1434" s="84">
        <v>0</v>
      </c>
      <c r="E1434" s="84">
        <v>0</v>
      </c>
      <c r="F1434" s="84">
        <v>19.636363636363637</v>
      </c>
      <c r="G1434" s="84">
        <v>0</v>
      </c>
      <c r="H1434" s="84">
        <v>0</v>
      </c>
      <c r="I1434" s="84"/>
      <c r="J1434" s="84">
        <v>0</v>
      </c>
      <c r="K1434" s="84">
        <v>0</v>
      </c>
      <c r="L1434" s="84">
        <v>0</v>
      </c>
      <c r="M1434" s="84">
        <v>0</v>
      </c>
      <c r="N1434" s="84">
        <v>0</v>
      </c>
    </row>
    <row r="1435" spans="1:14" x14ac:dyDescent="0.25">
      <c r="A1435" s="74" t="s">
        <v>3565</v>
      </c>
      <c r="B1435" s="74">
        <v>7481</v>
      </c>
      <c r="C1435" t="e">
        <f>VLOOKUP(B1435,'Waste Lookups'!$B$1:$C$292,2,FALSE)</f>
        <v>#N/A</v>
      </c>
      <c r="D1435" s="84">
        <v>10569.425454545453</v>
      </c>
      <c r="E1435" s="84">
        <v>2376.1854545454548</v>
      </c>
      <c r="F1435" s="84">
        <v>0</v>
      </c>
      <c r="G1435" s="84">
        <v>324</v>
      </c>
      <c r="H1435" s="84">
        <v>0</v>
      </c>
      <c r="I1435" s="84"/>
      <c r="J1435" s="84">
        <v>5005.2197282265997</v>
      </c>
      <c r="K1435" s="84">
        <v>1125.2579779444106</v>
      </c>
      <c r="L1435" s="84">
        <v>0</v>
      </c>
      <c r="M1435" s="84">
        <v>153.43229382898943</v>
      </c>
      <c r="N1435" s="84">
        <v>0</v>
      </c>
    </row>
    <row r="1436" spans="1:14" x14ac:dyDescent="0.25">
      <c r="A1436" s="74" t="s">
        <v>3567</v>
      </c>
      <c r="B1436" s="74">
        <v>7482</v>
      </c>
      <c r="C1436" t="e">
        <f>VLOOKUP(B1436,'Waste Lookups'!$B$1:$C$292,2,FALSE)</f>
        <v>#N/A</v>
      </c>
      <c r="D1436" s="84">
        <v>4890.7527272727266</v>
      </c>
      <c r="E1436" s="84">
        <v>2470.974545454545</v>
      </c>
      <c r="F1436" s="84">
        <v>0</v>
      </c>
      <c r="G1436" s="84">
        <v>1012.1454545454546</v>
      </c>
      <c r="H1436" s="84">
        <v>0</v>
      </c>
      <c r="I1436" s="84"/>
      <c r="J1436" s="84">
        <v>3377.2872118602668</v>
      </c>
      <c r="K1436" s="84">
        <v>1706.320314797324</v>
      </c>
      <c r="L1436" s="84">
        <v>0</v>
      </c>
      <c r="M1436" s="84">
        <v>698.93247334240937</v>
      </c>
      <c r="N1436" s="84">
        <v>0</v>
      </c>
    </row>
    <row r="1437" spans="1:14" x14ac:dyDescent="0.25">
      <c r="A1437" s="74" t="s">
        <v>3569</v>
      </c>
      <c r="B1437" s="74">
        <v>7484</v>
      </c>
      <c r="C1437" t="e">
        <f>VLOOKUP(B1437,'Waste Lookups'!$B$1:$C$292,2,FALSE)</f>
        <v>#N/A</v>
      </c>
      <c r="D1437" s="84">
        <v>6778.0581818181818</v>
      </c>
      <c r="E1437" s="84">
        <v>3214.8436363636361</v>
      </c>
      <c r="F1437" s="84">
        <v>0</v>
      </c>
      <c r="G1437" s="84">
        <v>2477.8254545454547</v>
      </c>
      <c r="H1437" s="84">
        <v>0</v>
      </c>
      <c r="I1437" s="84"/>
      <c r="J1437" s="84">
        <v>5003.9316673577396</v>
      </c>
      <c r="K1437" s="84">
        <v>2373.3726453921181</v>
      </c>
      <c r="L1437" s="84">
        <v>0</v>
      </c>
      <c r="M1437" s="84">
        <v>1829.2656872501425</v>
      </c>
      <c r="N1437" s="84">
        <v>0</v>
      </c>
    </row>
    <row r="1438" spans="1:14" x14ac:dyDescent="0.25">
      <c r="A1438" s="74" t="s">
        <v>3571</v>
      </c>
      <c r="B1438" s="74">
        <v>7487</v>
      </c>
      <c r="C1438" t="e">
        <f>VLOOKUP(B1438,'Waste Lookups'!$B$1:$C$292,2,FALSE)</f>
        <v>#N/A</v>
      </c>
      <c r="D1438" s="84">
        <v>2580.2945454545456</v>
      </c>
      <c r="E1438" s="84">
        <v>75.316363636363647</v>
      </c>
      <c r="F1438" s="84">
        <v>0</v>
      </c>
      <c r="G1438" s="84">
        <v>177.4581818181818</v>
      </c>
      <c r="H1438" s="84">
        <v>0</v>
      </c>
      <c r="I1438" s="84"/>
      <c r="J1438" s="84">
        <v>1130.993936533974</v>
      </c>
      <c r="K1438" s="84">
        <v>33.012646073516159</v>
      </c>
      <c r="L1438" s="84">
        <v>0</v>
      </c>
      <c r="M1438" s="84">
        <v>77.783417392509733</v>
      </c>
      <c r="N1438" s="84">
        <v>0</v>
      </c>
    </row>
    <row r="1439" spans="1:14" x14ac:dyDescent="0.25">
      <c r="A1439" s="74" t="s">
        <v>3573</v>
      </c>
      <c r="B1439" s="74">
        <v>7489</v>
      </c>
      <c r="C1439" t="e">
        <f>VLOOKUP(B1439,'Waste Lookups'!$B$1:$C$292,2,FALSE)</f>
        <v>#N/A</v>
      </c>
      <c r="D1439" s="84">
        <v>4499.7054545454539</v>
      </c>
      <c r="E1439" s="84">
        <v>931.43999999999994</v>
      </c>
      <c r="F1439" s="84">
        <v>0</v>
      </c>
      <c r="G1439" s="84">
        <v>587.12727272727273</v>
      </c>
      <c r="H1439" s="84">
        <v>0</v>
      </c>
      <c r="I1439" s="84"/>
      <c r="J1439" s="84">
        <v>3217.5922079303941</v>
      </c>
      <c r="K1439" s="84">
        <v>666.042281306929</v>
      </c>
      <c r="L1439" s="84">
        <v>0</v>
      </c>
      <c r="M1439" s="84">
        <v>419.83551076267742</v>
      </c>
      <c r="N1439" s="84">
        <v>0</v>
      </c>
    </row>
    <row r="1440" spans="1:14" x14ac:dyDescent="0.25">
      <c r="A1440" s="74" t="s">
        <v>3575</v>
      </c>
      <c r="B1440" s="74">
        <v>7490</v>
      </c>
      <c r="C1440" t="e">
        <f>VLOOKUP(B1440,'Waste Lookups'!$B$1:$C$292,2,FALSE)</f>
        <v>#N/A</v>
      </c>
      <c r="D1440" s="84">
        <v>679.34181818181821</v>
      </c>
      <c r="E1440" s="84">
        <v>814.57090909090903</v>
      </c>
      <c r="F1440" s="84">
        <v>0</v>
      </c>
      <c r="G1440" s="84">
        <v>575.79272727272723</v>
      </c>
      <c r="H1440" s="84">
        <v>0</v>
      </c>
      <c r="I1440" s="84"/>
      <c r="J1440" s="84">
        <v>352.01150545795713</v>
      </c>
      <c r="K1440" s="84">
        <v>422.0825574653573</v>
      </c>
      <c r="L1440" s="84">
        <v>0</v>
      </c>
      <c r="M1440" s="84">
        <v>298.35593707668545</v>
      </c>
      <c r="N1440" s="84">
        <v>0</v>
      </c>
    </row>
    <row r="1441" spans="1:14" x14ac:dyDescent="0.25">
      <c r="A1441" s="74" t="s">
        <v>3577</v>
      </c>
      <c r="B1441" s="74">
        <v>7491</v>
      </c>
      <c r="C1441" t="e">
        <f>VLOOKUP(B1441,'Waste Lookups'!$B$1:$C$292,2,FALSE)</f>
        <v>#N/A</v>
      </c>
      <c r="D1441" s="84">
        <v>6677.16</v>
      </c>
      <c r="E1441" s="84">
        <v>1144.0145454545454</v>
      </c>
      <c r="F1441" s="84">
        <v>0</v>
      </c>
      <c r="G1441" s="84">
        <v>216.9818181818182</v>
      </c>
      <c r="H1441" s="84">
        <v>0</v>
      </c>
      <c r="I1441" s="84"/>
      <c r="J1441" s="84">
        <v>3342.3777317322424</v>
      </c>
      <c r="K1441" s="84">
        <v>572.65794761621055</v>
      </c>
      <c r="L1441" s="84">
        <v>0</v>
      </c>
      <c r="M1441" s="84">
        <v>108.61432065154698</v>
      </c>
      <c r="N1441" s="84">
        <v>0</v>
      </c>
    </row>
    <row r="1442" spans="1:14" x14ac:dyDescent="0.25">
      <c r="A1442" s="74" t="s">
        <v>3579</v>
      </c>
      <c r="B1442" s="74">
        <v>7494</v>
      </c>
      <c r="C1442" t="e">
        <f>VLOOKUP(B1442,'Waste Lookups'!$B$1:$C$292,2,FALSE)</f>
        <v>#N/A</v>
      </c>
      <c r="D1442" s="84">
        <v>6957.9818181818173</v>
      </c>
      <c r="E1442" s="84">
        <v>1452.9054545454544</v>
      </c>
      <c r="F1442" s="84">
        <v>0</v>
      </c>
      <c r="G1442" s="84">
        <v>293.01818181818186</v>
      </c>
      <c r="H1442" s="84">
        <v>0</v>
      </c>
      <c r="I1442" s="84"/>
      <c r="J1442" s="84">
        <v>3625.1686893532424</v>
      </c>
      <c r="K1442" s="84">
        <v>756.97630434237658</v>
      </c>
      <c r="L1442" s="84">
        <v>0</v>
      </c>
      <c r="M1442" s="84">
        <v>152.66500630437997</v>
      </c>
      <c r="N1442" s="84">
        <v>0</v>
      </c>
    </row>
    <row r="1443" spans="1:14" x14ac:dyDescent="0.25">
      <c r="A1443" s="74" t="s">
        <v>3581</v>
      </c>
      <c r="B1443" s="74">
        <v>7495</v>
      </c>
      <c r="C1443" t="e">
        <f>VLOOKUP(B1443,'Waste Lookups'!$B$1:$C$292,2,FALSE)</f>
        <v>#N/A</v>
      </c>
      <c r="D1443" s="84">
        <v>8246.7818181818184</v>
      </c>
      <c r="E1443" s="84">
        <v>0</v>
      </c>
      <c r="F1443" s="84">
        <v>0</v>
      </c>
      <c r="G1443" s="84">
        <v>0</v>
      </c>
      <c r="H1443" s="84">
        <v>0</v>
      </c>
      <c r="I1443" s="84"/>
      <c r="J1443" s="84">
        <v>2929.71</v>
      </c>
      <c r="K1443" s="84">
        <v>0</v>
      </c>
      <c r="L1443" s="84">
        <v>0</v>
      </c>
      <c r="M1443" s="84">
        <v>0</v>
      </c>
      <c r="N1443" s="84">
        <v>0</v>
      </c>
    </row>
    <row r="1444" spans="1:14" x14ac:dyDescent="0.25">
      <c r="A1444" s="74" t="s">
        <v>3583</v>
      </c>
      <c r="B1444" s="74">
        <v>7497</v>
      </c>
      <c r="C1444" t="e">
        <f>VLOOKUP(B1444,'Waste Lookups'!$B$1:$C$292,2,FALSE)</f>
        <v>#N/A</v>
      </c>
      <c r="D1444" s="84">
        <v>0</v>
      </c>
      <c r="E1444" s="84">
        <v>0</v>
      </c>
      <c r="F1444" s="84">
        <v>19.636363636363637</v>
      </c>
      <c r="G1444" s="84">
        <v>0</v>
      </c>
      <c r="H1444" s="84">
        <v>0</v>
      </c>
      <c r="I1444" s="84"/>
      <c r="J1444" s="84">
        <v>0</v>
      </c>
      <c r="K1444" s="84">
        <v>0</v>
      </c>
      <c r="L1444" s="84">
        <v>0</v>
      </c>
      <c r="M1444" s="84">
        <v>0</v>
      </c>
      <c r="N1444" s="84">
        <v>0</v>
      </c>
    </row>
    <row r="1445" spans="1:14" x14ac:dyDescent="0.25">
      <c r="A1445" s="74" t="s">
        <v>3585</v>
      </c>
      <c r="B1445" s="74">
        <v>7499</v>
      </c>
      <c r="C1445" t="e">
        <f>VLOOKUP(B1445,'Waste Lookups'!$B$1:$C$292,2,FALSE)</f>
        <v>#N/A</v>
      </c>
      <c r="D1445" s="84">
        <v>12745.887272727272</v>
      </c>
      <c r="E1445" s="84">
        <v>7479.7963636363638</v>
      </c>
      <c r="F1445" s="84">
        <v>0</v>
      </c>
      <c r="G1445" s="84">
        <v>1352.7709090909093</v>
      </c>
      <c r="H1445" s="84">
        <v>0</v>
      </c>
      <c r="I1445" s="84"/>
      <c r="J1445" s="84">
        <v>8214.6629437595584</v>
      </c>
      <c r="K1445" s="84">
        <v>4820.6927223265639</v>
      </c>
      <c r="L1445" s="84">
        <v>0</v>
      </c>
      <c r="M1445" s="84">
        <v>871.85433391387903</v>
      </c>
      <c r="N1445" s="84">
        <v>0</v>
      </c>
    </row>
    <row r="1446" spans="1:14" x14ac:dyDescent="0.25">
      <c r="A1446" s="74" t="s">
        <v>3587</v>
      </c>
      <c r="B1446" s="74">
        <v>7500</v>
      </c>
      <c r="C1446" t="e">
        <f>VLOOKUP(B1446,'Waste Lookups'!$B$1:$C$292,2,FALSE)</f>
        <v>#N/A</v>
      </c>
      <c r="D1446" s="84">
        <v>0</v>
      </c>
      <c r="E1446" s="84">
        <v>456.20727272727277</v>
      </c>
      <c r="F1446" s="84">
        <v>0</v>
      </c>
      <c r="G1446" s="84">
        <v>459.82909090909084</v>
      </c>
      <c r="H1446" s="84">
        <v>0</v>
      </c>
      <c r="I1446" s="84"/>
      <c r="J1446" s="84">
        <v>0</v>
      </c>
      <c r="K1446" s="84">
        <v>572.62198416100989</v>
      </c>
      <c r="L1446" s="84">
        <v>0</v>
      </c>
      <c r="M1446" s="84">
        <v>577.16801583898996</v>
      </c>
      <c r="N1446" s="84">
        <v>0</v>
      </c>
    </row>
    <row r="1447" spans="1:14" x14ac:dyDescent="0.25">
      <c r="A1447" s="74" t="s">
        <v>3589</v>
      </c>
      <c r="B1447" s="74">
        <v>7501</v>
      </c>
      <c r="C1447" t="e">
        <f>VLOOKUP(B1447,'Waste Lookups'!$B$1:$C$292,2,FALSE)</f>
        <v>#N/A</v>
      </c>
      <c r="D1447" s="84">
        <v>71162.105454545454</v>
      </c>
      <c r="E1447" s="84">
        <v>47589.403636363633</v>
      </c>
      <c r="F1447" s="84">
        <v>59.88</v>
      </c>
      <c r="G1447" s="84">
        <v>14812.581818181818</v>
      </c>
      <c r="H1447" s="84">
        <v>1088.6399999999999</v>
      </c>
      <c r="I1447" s="84"/>
      <c r="J1447" s="84">
        <v>134110.97532065431</v>
      </c>
      <c r="K1447" s="84">
        <v>89686.235333181176</v>
      </c>
      <c r="L1447" s="84">
        <v>112.84889831330631</v>
      </c>
      <c r="M1447" s="84">
        <v>27915.556769497824</v>
      </c>
      <c r="N1447" s="84">
        <v>2051.6336783533357</v>
      </c>
    </row>
    <row r="1448" spans="1:14" x14ac:dyDescent="0.25">
      <c r="A1448" s="74" t="s">
        <v>3591</v>
      </c>
      <c r="B1448" s="74">
        <v>7502</v>
      </c>
      <c r="C1448" t="e">
        <f>VLOOKUP(B1448,'Waste Lookups'!$B$1:$C$292,2,FALSE)</f>
        <v>#N/A</v>
      </c>
      <c r="D1448" s="84">
        <v>0</v>
      </c>
      <c r="E1448" s="84">
        <v>0</v>
      </c>
      <c r="F1448" s="84">
        <v>19.636363636363637</v>
      </c>
      <c r="G1448" s="84">
        <v>0</v>
      </c>
      <c r="H1448" s="84">
        <v>0</v>
      </c>
      <c r="I1448" s="84"/>
      <c r="J1448" s="84">
        <v>0</v>
      </c>
      <c r="K1448" s="84">
        <v>0</v>
      </c>
      <c r="L1448" s="84">
        <v>0</v>
      </c>
      <c r="M1448" s="84">
        <v>0</v>
      </c>
      <c r="N1448" s="84">
        <v>0</v>
      </c>
    </row>
    <row r="1449" spans="1:14" x14ac:dyDescent="0.25">
      <c r="A1449" s="74" t="s">
        <v>3593</v>
      </c>
      <c r="B1449" s="74">
        <v>7512</v>
      </c>
      <c r="C1449" t="e">
        <f>VLOOKUP(B1449,'Waste Lookups'!$B$1:$C$292,2,FALSE)</f>
        <v>#N/A</v>
      </c>
      <c r="D1449" s="84">
        <v>1599.4036363636365</v>
      </c>
      <c r="E1449" s="84">
        <v>1168.7236363636364</v>
      </c>
      <c r="F1449" s="84">
        <v>436.5927272727273</v>
      </c>
      <c r="G1449" s="84">
        <v>299.30181818181819</v>
      </c>
      <c r="H1449" s="84">
        <v>155.78181818181818</v>
      </c>
      <c r="I1449" s="84"/>
      <c r="J1449" s="84">
        <v>4379.1617563982563</v>
      </c>
      <c r="K1449" s="84">
        <v>3199.9613704759117</v>
      </c>
      <c r="L1449" s="84">
        <v>1195.3894132323044</v>
      </c>
      <c r="M1449" s="84">
        <v>819.48736766801187</v>
      </c>
      <c r="N1449" s="84">
        <v>426.53009222551424</v>
      </c>
    </row>
    <row r="1450" spans="1:14" x14ac:dyDescent="0.25">
      <c r="A1450" s="74" t="s">
        <v>3595</v>
      </c>
      <c r="B1450" s="74">
        <v>7514</v>
      </c>
      <c r="C1450" t="e">
        <f>VLOOKUP(B1450,'Waste Lookups'!$B$1:$C$292,2,FALSE)</f>
        <v>#N/A</v>
      </c>
      <c r="D1450" s="84">
        <v>1050.3163636363636</v>
      </c>
      <c r="E1450" s="84">
        <v>0</v>
      </c>
      <c r="F1450" s="84">
        <v>280.87636363636369</v>
      </c>
      <c r="G1450" s="84">
        <v>0</v>
      </c>
      <c r="H1450" s="84">
        <v>86.596363636363634</v>
      </c>
      <c r="I1450" s="84"/>
      <c r="J1450" s="84">
        <v>6483.327287248776</v>
      </c>
      <c r="K1450" s="84">
        <v>0</v>
      </c>
      <c r="L1450" s="84">
        <v>1733.7760847619343</v>
      </c>
      <c r="M1450" s="84">
        <v>0</v>
      </c>
      <c r="N1450" s="84">
        <v>534.53662798928929</v>
      </c>
    </row>
    <row r="1451" spans="1:14" x14ac:dyDescent="0.25">
      <c r="A1451" s="74" t="s">
        <v>3597</v>
      </c>
      <c r="B1451" s="74">
        <v>7515</v>
      </c>
      <c r="C1451" t="e">
        <f>VLOOKUP(B1451,'Waste Lookups'!$B$1:$C$292,2,FALSE)</f>
        <v>#N/A</v>
      </c>
      <c r="D1451" s="84">
        <v>539.25818181818181</v>
      </c>
      <c r="E1451" s="84">
        <v>462.21818181818179</v>
      </c>
      <c r="F1451" s="84">
        <v>0</v>
      </c>
      <c r="G1451" s="84">
        <v>503.73818181818183</v>
      </c>
      <c r="H1451" s="84">
        <v>0</v>
      </c>
      <c r="I1451" s="84"/>
      <c r="J1451" s="84">
        <v>1379.7524556088651</v>
      </c>
      <c r="K1451" s="84">
        <v>1182.6369870559074</v>
      </c>
      <c r="L1451" s="84">
        <v>0</v>
      </c>
      <c r="M1451" s="84">
        <v>1288.8705573352274</v>
      </c>
      <c r="N1451" s="84">
        <v>0</v>
      </c>
    </row>
    <row r="1452" spans="1:14" x14ac:dyDescent="0.25">
      <c r="A1452" s="74" t="s">
        <v>3599</v>
      </c>
      <c r="B1452" s="74">
        <v>7521</v>
      </c>
      <c r="C1452" t="e">
        <f>VLOOKUP(B1452,'Waste Lookups'!$B$1:$C$292,2,FALSE)</f>
        <v>#N/A</v>
      </c>
      <c r="D1452" s="84">
        <v>0</v>
      </c>
      <c r="E1452" s="84">
        <v>20.661818181818184</v>
      </c>
      <c r="F1452" s="84">
        <v>0</v>
      </c>
      <c r="G1452" s="84">
        <v>0</v>
      </c>
      <c r="H1452" s="84">
        <v>0</v>
      </c>
      <c r="I1452" s="84"/>
      <c r="J1452" s="84">
        <v>0</v>
      </c>
      <c r="K1452" s="84">
        <v>0</v>
      </c>
      <c r="L1452" s="84">
        <v>0</v>
      </c>
      <c r="M1452" s="84">
        <v>0</v>
      </c>
      <c r="N1452" s="84">
        <v>0</v>
      </c>
    </row>
    <row r="1453" spans="1:14" x14ac:dyDescent="0.25">
      <c r="A1453" s="74" t="s">
        <v>3601</v>
      </c>
      <c r="B1453" s="74">
        <v>7534</v>
      </c>
      <c r="C1453" t="e">
        <f>VLOOKUP(B1453,'Waste Lookups'!$B$1:$C$292,2,FALSE)</f>
        <v>#N/A</v>
      </c>
      <c r="D1453" s="84">
        <v>0</v>
      </c>
      <c r="E1453" s="84">
        <v>1586.7163636363634</v>
      </c>
      <c r="F1453" s="84">
        <v>0</v>
      </c>
      <c r="G1453" s="84">
        <v>0</v>
      </c>
      <c r="H1453" s="84">
        <v>0</v>
      </c>
      <c r="I1453" s="84"/>
      <c r="J1453" s="84">
        <v>0</v>
      </c>
      <c r="K1453" s="84">
        <v>0</v>
      </c>
      <c r="L1453" s="84">
        <v>0</v>
      </c>
      <c r="M1453" s="84">
        <v>0</v>
      </c>
      <c r="N1453" s="84">
        <v>0</v>
      </c>
    </row>
    <row r="1454" spans="1:14" x14ac:dyDescent="0.25">
      <c r="A1454" s="74" t="s">
        <v>3603</v>
      </c>
      <c r="B1454" s="74">
        <v>7575</v>
      </c>
      <c r="C1454" t="e">
        <f>VLOOKUP(B1454,'Waste Lookups'!$B$1:$C$292,2,FALSE)</f>
        <v>#N/A</v>
      </c>
      <c r="D1454" s="84">
        <v>872.8145454545454</v>
      </c>
      <c r="E1454" s="84">
        <v>82.778181818181807</v>
      </c>
      <c r="F1454" s="84">
        <v>0</v>
      </c>
      <c r="G1454" s="84">
        <v>0</v>
      </c>
      <c r="H1454" s="84">
        <v>0</v>
      </c>
      <c r="I1454" s="84"/>
      <c r="J1454" s="84">
        <v>2362.2618658386232</v>
      </c>
      <c r="K1454" s="84">
        <v>224.03813416137723</v>
      </c>
      <c r="L1454" s="84">
        <v>0</v>
      </c>
      <c r="M1454" s="84">
        <v>0</v>
      </c>
      <c r="N1454" s="84">
        <v>0</v>
      </c>
    </row>
    <row r="1455" spans="1:14" x14ac:dyDescent="0.25">
      <c r="A1455" s="74" t="s">
        <v>3605</v>
      </c>
      <c r="B1455" s="74">
        <v>7576</v>
      </c>
      <c r="C1455" t="e">
        <f>VLOOKUP(B1455,'Waste Lookups'!$B$1:$C$292,2,FALSE)</f>
        <v>#N/A</v>
      </c>
      <c r="D1455" s="84">
        <v>6494.4</v>
      </c>
      <c r="E1455" s="84">
        <v>80.596363636363634</v>
      </c>
      <c r="F1455" s="84">
        <v>0</v>
      </c>
      <c r="G1455" s="84">
        <v>0</v>
      </c>
      <c r="H1455" s="84">
        <v>0</v>
      </c>
      <c r="I1455" s="84"/>
      <c r="J1455" s="84">
        <v>9707.4492696297384</v>
      </c>
      <c r="K1455" s="84">
        <v>120.47073037026222</v>
      </c>
      <c r="L1455" s="84">
        <v>0</v>
      </c>
      <c r="M1455" s="84">
        <v>0</v>
      </c>
      <c r="N1455" s="84">
        <v>0</v>
      </c>
    </row>
    <row r="1456" spans="1:14" x14ac:dyDescent="0.25">
      <c r="A1456" s="74" t="s">
        <v>3607</v>
      </c>
      <c r="B1456" s="74">
        <v>7577</v>
      </c>
      <c r="C1456" t="e">
        <f>VLOOKUP(B1456,'Waste Lookups'!$B$1:$C$292,2,FALSE)</f>
        <v>#N/A</v>
      </c>
      <c r="D1456" s="84">
        <v>6863.8036363636365</v>
      </c>
      <c r="E1456" s="84">
        <v>101.03999999999999</v>
      </c>
      <c r="F1456" s="84">
        <v>0</v>
      </c>
      <c r="G1456" s="84">
        <v>0</v>
      </c>
      <c r="H1456" s="84">
        <v>0</v>
      </c>
      <c r="I1456" s="84"/>
      <c r="J1456" s="84">
        <v>6117.0625521110696</v>
      </c>
      <c r="K1456" s="84">
        <v>90.047447888929952</v>
      </c>
      <c r="L1456" s="84">
        <v>0</v>
      </c>
      <c r="M1456" s="84">
        <v>0</v>
      </c>
      <c r="N1456" s="84">
        <v>0</v>
      </c>
    </row>
    <row r="1457" spans="1:14" x14ac:dyDescent="0.25">
      <c r="A1457" s="74" t="s">
        <v>3609</v>
      </c>
      <c r="B1457" s="74">
        <v>7579</v>
      </c>
      <c r="C1457" t="e">
        <f>VLOOKUP(B1457,'Waste Lookups'!$B$1:$C$292,2,FALSE)</f>
        <v>#N/A</v>
      </c>
      <c r="D1457" s="84">
        <v>8564.061818181819</v>
      </c>
      <c r="E1457" s="84">
        <v>144.89454545454544</v>
      </c>
      <c r="F1457" s="84">
        <v>0</v>
      </c>
      <c r="G1457" s="84">
        <v>0</v>
      </c>
      <c r="H1457" s="84">
        <v>0</v>
      </c>
      <c r="I1457" s="84"/>
      <c r="J1457" s="84">
        <v>9506.2742521993059</v>
      </c>
      <c r="K1457" s="84">
        <v>160.83574780069671</v>
      </c>
      <c r="L1457" s="84">
        <v>0</v>
      </c>
      <c r="M1457" s="84">
        <v>0</v>
      </c>
      <c r="N1457" s="84">
        <v>0</v>
      </c>
    </row>
    <row r="1458" spans="1:14" x14ac:dyDescent="0.25">
      <c r="A1458" s="74" t="s">
        <v>3611</v>
      </c>
      <c r="B1458" s="74">
        <v>7580</v>
      </c>
      <c r="C1458" t="e">
        <f>VLOOKUP(B1458,'Waste Lookups'!$B$1:$C$292,2,FALSE)</f>
        <v>#N/A</v>
      </c>
      <c r="D1458" s="84">
        <v>8252.5090909090923</v>
      </c>
      <c r="E1458" s="84">
        <v>124.23272727272726</v>
      </c>
      <c r="F1458" s="84">
        <v>0</v>
      </c>
      <c r="G1458" s="84">
        <v>0</v>
      </c>
      <c r="H1458" s="84">
        <v>0</v>
      </c>
      <c r="I1458" s="84"/>
      <c r="J1458" s="84">
        <v>8499.1641438372226</v>
      </c>
      <c r="K1458" s="84">
        <v>127.94585616277796</v>
      </c>
      <c r="L1458" s="84">
        <v>0</v>
      </c>
      <c r="M1458" s="84">
        <v>0</v>
      </c>
      <c r="N1458" s="84">
        <v>0</v>
      </c>
    </row>
    <row r="1459" spans="1:14" x14ac:dyDescent="0.25">
      <c r="A1459" s="74" t="s">
        <v>3613</v>
      </c>
      <c r="B1459" s="74">
        <v>7581</v>
      </c>
      <c r="C1459" t="e">
        <f>VLOOKUP(B1459,'Waste Lookups'!$B$1:$C$292,2,FALSE)</f>
        <v>#N/A</v>
      </c>
      <c r="D1459" s="84">
        <v>4515.1636363636362</v>
      </c>
      <c r="E1459" s="84">
        <v>83.8690909090909</v>
      </c>
      <c r="F1459" s="84">
        <v>0</v>
      </c>
      <c r="G1459" s="84">
        <v>0</v>
      </c>
      <c r="H1459" s="84">
        <v>0</v>
      </c>
      <c r="I1459" s="84"/>
      <c r="J1459" s="84">
        <v>7818.9727094392965</v>
      </c>
      <c r="K1459" s="84">
        <v>145.23729056070286</v>
      </c>
      <c r="L1459" s="84">
        <v>0</v>
      </c>
      <c r="M1459" s="84">
        <v>0</v>
      </c>
      <c r="N1459" s="84">
        <v>0</v>
      </c>
    </row>
    <row r="1460" spans="1:14" x14ac:dyDescent="0.25">
      <c r="A1460" s="74" t="s">
        <v>3615</v>
      </c>
      <c r="B1460" s="74">
        <v>7582</v>
      </c>
      <c r="C1460" t="e">
        <f>VLOOKUP(B1460,'Waste Lookups'!$B$1:$C$292,2,FALSE)</f>
        <v>#N/A</v>
      </c>
      <c r="D1460" s="84">
        <v>7491.119999999999</v>
      </c>
      <c r="E1460" s="84">
        <v>107.5090909090909</v>
      </c>
      <c r="F1460" s="84">
        <v>0</v>
      </c>
      <c r="G1460" s="84">
        <v>0</v>
      </c>
      <c r="H1460" s="84">
        <v>0</v>
      </c>
      <c r="I1460" s="84"/>
      <c r="J1460" s="84">
        <v>7454.1317473917543</v>
      </c>
      <c r="K1460" s="84">
        <v>106.97825260824561</v>
      </c>
      <c r="L1460" s="84">
        <v>0</v>
      </c>
      <c r="M1460" s="84">
        <v>0</v>
      </c>
      <c r="N1460" s="84">
        <v>0</v>
      </c>
    </row>
    <row r="1461" spans="1:14" x14ac:dyDescent="0.25">
      <c r="A1461" s="74" t="s">
        <v>3617</v>
      </c>
      <c r="B1461" s="74">
        <v>7585</v>
      </c>
      <c r="C1461" t="e">
        <f>VLOOKUP(B1461,'Waste Lookups'!$B$1:$C$292,2,FALSE)</f>
        <v>#N/A</v>
      </c>
      <c r="D1461" s="84">
        <v>1229.1927272727273</v>
      </c>
      <c r="E1461" s="84">
        <v>0</v>
      </c>
      <c r="F1461" s="84">
        <v>0</v>
      </c>
      <c r="G1461" s="84">
        <v>0</v>
      </c>
      <c r="H1461" s="84">
        <v>0</v>
      </c>
      <c r="I1461" s="84"/>
      <c r="J1461" s="84">
        <v>5875.43</v>
      </c>
      <c r="K1461" s="84">
        <v>0</v>
      </c>
      <c r="L1461" s="84">
        <v>0</v>
      </c>
      <c r="M1461" s="84">
        <v>0</v>
      </c>
      <c r="N1461" s="84">
        <v>0</v>
      </c>
    </row>
    <row r="1462" spans="1:14" x14ac:dyDescent="0.25">
      <c r="A1462" s="74" t="s">
        <v>3619</v>
      </c>
      <c r="B1462" s="74">
        <v>7587</v>
      </c>
      <c r="C1462" t="e">
        <f>VLOOKUP(B1462,'Waste Lookups'!$B$1:$C$292,2,FALSE)</f>
        <v>#N/A</v>
      </c>
      <c r="D1462" s="84">
        <v>9108.4472727272732</v>
      </c>
      <c r="E1462" s="84">
        <v>207.01090909090908</v>
      </c>
      <c r="F1462" s="84">
        <v>0</v>
      </c>
      <c r="G1462" s="84">
        <v>0</v>
      </c>
      <c r="H1462" s="84">
        <v>0</v>
      </c>
      <c r="I1462" s="84"/>
      <c r="J1462" s="84">
        <v>9336.9068100412569</v>
      </c>
      <c r="K1462" s="84">
        <v>212.20318995874302</v>
      </c>
      <c r="L1462" s="84">
        <v>0</v>
      </c>
      <c r="M1462" s="84">
        <v>0</v>
      </c>
      <c r="N1462" s="84">
        <v>0</v>
      </c>
    </row>
    <row r="1463" spans="1:14" x14ac:dyDescent="0.25">
      <c r="A1463" s="74" t="s">
        <v>3621</v>
      </c>
      <c r="B1463" s="74">
        <v>7588</v>
      </c>
      <c r="C1463" t="e">
        <f>VLOOKUP(B1463,'Waste Lookups'!$B$1:$C$292,2,FALSE)</f>
        <v>#N/A</v>
      </c>
      <c r="D1463" s="84">
        <v>7529.2145454545443</v>
      </c>
      <c r="E1463" s="84">
        <v>0</v>
      </c>
      <c r="F1463" s="84">
        <v>0</v>
      </c>
      <c r="G1463" s="84">
        <v>0</v>
      </c>
      <c r="H1463" s="84">
        <v>0</v>
      </c>
      <c r="I1463" s="84"/>
      <c r="J1463" s="84">
        <v>6207.11</v>
      </c>
      <c r="K1463" s="84">
        <v>0</v>
      </c>
      <c r="L1463" s="84">
        <v>0</v>
      </c>
      <c r="M1463" s="84">
        <v>0</v>
      </c>
      <c r="N1463" s="84">
        <v>0</v>
      </c>
    </row>
    <row r="1464" spans="1:14" x14ac:dyDescent="0.25">
      <c r="A1464" s="74" t="s">
        <v>3623</v>
      </c>
      <c r="B1464" s="74">
        <v>7610</v>
      </c>
      <c r="C1464" t="e">
        <f>VLOOKUP(B1464,'Waste Lookups'!$B$1:$C$292,2,FALSE)</f>
        <v>#N/A</v>
      </c>
      <c r="D1464" s="84">
        <v>0</v>
      </c>
      <c r="E1464" s="84">
        <v>0</v>
      </c>
      <c r="F1464" s="84">
        <v>0</v>
      </c>
      <c r="G1464" s="84">
        <v>0</v>
      </c>
      <c r="H1464" s="84">
        <v>0</v>
      </c>
      <c r="I1464" s="84"/>
      <c r="J1464" s="84">
        <v>0</v>
      </c>
      <c r="K1464" s="84">
        <v>0</v>
      </c>
      <c r="L1464" s="84">
        <v>0</v>
      </c>
      <c r="M1464" s="84">
        <v>0</v>
      </c>
      <c r="N1464" s="84">
        <v>0</v>
      </c>
    </row>
    <row r="1465" spans="1:14" x14ac:dyDescent="0.25">
      <c r="A1465" s="74" t="s">
        <v>3625</v>
      </c>
      <c r="B1465" s="74">
        <v>7612</v>
      </c>
      <c r="C1465" t="e">
        <f>VLOOKUP(B1465,'Waste Lookups'!$B$1:$C$292,2,FALSE)</f>
        <v>#N/A</v>
      </c>
      <c r="D1465" s="84">
        <v>0</v>
      </c>
      <c r="E1465" s="84">
        <v>0</v>
      </c>
      <c r="F1465" s="84">
        <v>0</v>
      </c>
      <c r="G1465" s="84">
        <v>0</v>
      </c>
      <c r="H1465" s="84">
        <v>0</v>
      </c>
      <c r="I1465" s="84"/>
      <c r="J1465" s="84">
        <v>0</v>
      </c>
      <c r="K1465" s="84">
        <v>0</v>
      </c>
      <c r="L1465" s="84">
        <v>0</v>
      </c>
      <c r="M1465" s="84">
        <v>0</v>
      </c>
      <c r="N1465" s="84">
        <v>0</v>
      </c>
    </row>
    <row r="1466" spans="1:14" x14ac:dyDescent="0.25">
      <c r="A1466" s="74" t="s">
        <v>3627</v>
      </c>
      <c r="B1466" s="74">
        <v>7615</v>
      </c>
      <c r="C1466" t="e">
        <f>VLOOKUP(B1466,'Waste Lookups'!$B$1:$C$292,2,FALSE)</f>
        <v>#N/A</v>
      </c>
      <c r="D1466" s="84">
        <v>0</v>
      </c>
      <c r="E1466" s="84">
        <v>0</v>
      </c>
      <c r="F1466" s="84">
        <v>0</v>
      </c>
      <c r="G1466" s="84">
        <v>0</v>
      </c>
      <c r="H1466" s="84">
        <v>0</v>
      </c>
      <c r="I1466" s="84"/>
      <c r="J1466" s="84">
        <v>0</v>
      </c>
      <c r="K1466" s="84">
        <v>0</v>
      </c>
      <c r="L1466" s="84">
        <v>0</v>
      </c>
      <c r="M1466" s="84">
        <v>0</v>
      </c>
      <c r="N1466" s="84">
        <v>0</v>
      </c>
    </row>
    <row r="1467" spans="1:14" x14ac:dyDescent="0.25">
      <c r="A1467" s="74" t="s">
        <v>3629</v>
      </c>
      <c r="B1467" s="74">
        <v>7617</v>
      </c>
      <c r="C1467" t="e">
        <f>VLOOKUP(B1467,'Waste Lookups'!$B$1:$C$292,2,FALSE)</f>
        <v>#N/A</v>
      </c>
      <c r="D1467" s="84">
        <v>48</v>
      </c>
      <c r="E1467" s="84">
        <v>0</v>
      </c>
      <c r="F1467" s="84">
        <v>0</v>
      </c>
      <c r="G1467" s="84">
        <v>0</v>
      </c>
      <c r="H1467" s="84">
        <v>0</v>
      </c>
      <c r="I1467" s="84"/>
      <c r="J1467" s="84">
        <v>218</v>
      </c>
      <c r="K1467" s="84">
        <v>0</v>
      </c>
      <c r="L1467" s="84">
        <v>0</v>
      </c>
      <c r="M1467" s="84">
        <v>0</v>
      </c>
      <c r="N1467" s="84">
        <v>0</v>
      </c>
    </row>
    <row r="1468" spans="1:14" x14ac:dyDescent="0.25">
      <c r="A1468" s="74" t="s">
        <v>3631</v>
      </c>
      <c r="B1468" s="74">
        <v>7619</v>
      </c>
      <c r="C1468" t="e">
        <f>VLOOKUP(B1468,'Waste Lookups'!$B$1:$C$292,2,FALSE)</f>
        <v>#N/A</v>
      </c>
      <c r="D1468" s="84">
        <v>0</v>
      </c>
      <c r="E1468" s="84">
        <v>0</v>
      </c>
      <c r="F1468" s="84">
        <v>0</v>
      </c>
      <c r="G1468" s="84">
        <v>0</v>
      </c>
      <c r="H1468" s="84">
        <v>0</v>
      </c>
      <c r="I1468" s="84"/>
      <c r="J1468" s="84">
        <v>0</v>
      </c>
      <c r="K1468" s="84">
        <v>0</v>
      </c>
      <c r="L1468" s="84">
        <v>0</v>
      </c>
      <c r="M1468" s="84">
        <v>0</v>
      </c>
      <c r="N1468" s="84">
        <v>0</v>
      </c>
    </row>
    <row r="1469" spans="1:14" x14ac:dyDescent="0.25">
      <c r="A1469" s="74" t="s">
        <v>3633</v>
      </c>
      <c r="B1469" s="74">
        <v>7639</v>
      </c>
      <c r="C1469" t="e">
        <f>VLOOKUP(B1469,'Waste Lookups'!$B$1:$C$292,2,FALSE)</f>
        <v>#N/A</v>
      </c>
      <c r="D1469" s="84">
        <v>6624.2181818181816</v>
      </c>
      <c r="E1469" s="84">
        <v>0</v>
      </c>
      <c r="F1469" s="84">
        <v>0</v>
      </c>
      <c r="G1469" s="84">
        <v>0</v>
      </c>
      <c r="H1469" s="84">
        <v>0</v>
      </c>
      <c r="I1469" s="84"/>
      <c r="J1469" s="84">
        <v>0</v>
      </c>
      <c r="K1469" s="84">
        <v>0</v>
      </c>
      <c r="L1469" s="84">
        <v>0</v>
      </c>
      <c r="M1469" s="84">
        <v>0</v>
      </c>
      <c r="N1469" s="84">
        <v>0</v>
      </c>
    </row>
    <row r="1470" spans="1:14" x14ac:dyDescent="0.25">
      <c r="A1470" s="74" t="s">
        <v>3635</v>
      </c>
      <c r="B1470" s="74">
        <v>7640</v>
      </c>
      <c r="C1470" t="e">
        <f>VLOOKUP(B1470,'Waste Lookups'!$B$1:$C$292,2,FALSE)</f>
        <v>#N/A</v>
      </c>
      <c r="D1470" s="84">
        <v>0</v>
      </c>
      <c r="E1470" s="84">
        <v>0</v>
      </c>
      <c r="F1470" s="84">
        <v>0</v>
      </c>
      <c r="G1470" s="84">
        <v>0</v>
      </c>
      <c r="H1470" s="84">
        <v>0</v>
      </c>
      <c r="I1470" s="84"/>
      <c r="J1470" s="84">
        <v>0</v>
      </c>
      <c r="K1470" s="84">
        <v>0</v>
      </c>
      <c r="L1470" s="84">
        <v>0</v>
      </c>
      <c r="M1470" s="84">
        <v>0</v>
      </c>
      <c r="N1470" s="84">
        <v>0</v>
      </c>
    </row>
    <row r="1471" spans="1:14" x14ac:dyDescent="0.25">
      <c r="A1471" s="74" t="s">
        <v>3637</v>
      </c>
      <c r="B1471" s="74">
        <v>7642</v>
      </c>
      <c r="C1471" t="e">
        <f>VLOOKUP(B1471,'Waste Lookups'!$B$1:$C$292,2,FALSE)</f>
        <v>#N/A</v>
      </c>
      <c r="D1471" s="84">
        <v>9490.4836363636368</v>
      </c>
      <c r="E1471" s="84">
        <v>0</v>
      </c>
      <c r="F1471" s="84">
        <v>0</v>
      </c>
      <c r="G1471" s="84">
        <v>0</v>
      </c>
      <c r="H1471" s="84">
        <v>0</v>
      </c>
      <c r="I1471" s="84"/>
      <c r="J1471" s="84">
        <v>0</v>
      </c>
      <c r="K1471" s="84">
        <v>0</v>
      </c>
      <c r="L1471" s="84">
        <v>0</v>
      </c>
      <c r="M1471" s="84">
        <v>0</v>
      </c>
      <c r="N1471" s="84">
        <v>0</v>
      </c>
    </row>
    <row r="1472" spans="1:14" x14ac:dyDescent="0.25">
      <c r="A1472" s="74" t="s">
        <v>3639</v>
      </c>
      <c r="B1472" s="74">
        <v>7647</v>
      </c>
      <c r="C1472" t="e">
        <f>VLOOKUP(B1472,'Waste Lookups'!$B$1:$C$292,2,FALSE)</f>
        <v>#N/A</v>
      </c>
      <c r="D1472" s="84">
        <v>7450.2763636363634</v>
      </c>
      <c r="E1472" s="84">
        <v>45.709090909090911</v>
      </c>
      <c r="F1472" s="84">
        <v>0</v>
      </c>
      <c r="G1472" s="84">
        <v>0</v>
      </c>
      <c r="H1472" s="84">
        <v>0</v>
      </c>
      <c r="I1472" s="84"/>
      <c r="J1472" s="84">
        <v>124.94344437458885</v>
      </c>
      <c r="K1472" s="84">
        <v>0.76655562541112909</v>
      </c>
      <c r="L1472" s="84">
        <v>0</v>
      </c>
      <c r="M1472" s="84">
        <v>0</v>
      </c>
      <c r="N1472" s="84">
        <v>0</v>
      </c>
    </row>
    <row r="1473" spans="1:14" x14ac:dyDescent="0.25">
      <c r="A1473" s="74" t="s">
        <v>3641</v>
      </c>
      <c r="B1473" s="74">
        <v>7648</v>
      </c>
      <c r="C1473" t="e">
        <f>VLOOKUP(B1473,'Waste Lookups'!$B$1:$C$292,2,FALSE)</f>
        <v>#N/A</v>
      </c>
      <c r="D1473" s="84">
        <v>10613.847272727275</v>
      </c>
      <c r="E1473" s="84">
        <v>0</v>
      </c>
      <c r="F1473" s="84">
        <v>0</v>
      </c>
      <c r="G1473" s="84">
        <v>0</v>
      </c>
      <c r="H1473" s="84">
        <v>0</v>
      </c>
      <c r="I1473" s="84"/>
      <c r="J1473" s="84">
        <v>0</v>
      </c>
      <c r="K1473" s="84">
        <v>0</v>
      </c>
      <c r="L1473" s="84">
        <v>0</v>
      </c>
      <c r="M1473" s="84">
        <v>0</v>
      </c>
      <c r="N1473" s="84">
        <v>0</v>
      </c>
    </row>
    <row r="1474" spans="1:14" x14ac:dyDescent="0.25">
      <c r="A1474" s="74" t="s">
        <v>728</v>
      </c>
      <c r="B1474" s="74">
        <v>7665</v>
      </c>
      <c r="C1474" t="str">
        <f>VLOOKUP(B1474,'Waste Lookups'!$B$1:$C$292,2,FALSE)</f>
        <v>Lower Marsh</v>
      </c>
      <c r="D1474" s="84">
        <v>0</v>
      </c>
      <c r="E1474" s="84">
        <v>19697.476363636364</v>
      </c>
      <c r="F1474" s="84">
        <v>0</v>
      </c>
      <c r="G1474" s="84">
        <v>0</v>
      </c>
      <c r="H1474" s="84">
        <v>0</v>
      </c>
      <c r="I1474" s="84"/>
      <c r="J1474" s="84">
        <v>0</v>
      </c>
      <c r="K1474" s="84">
        <v>20931.900000000001</v>
      </c>
      <c r="L1474" s="84">
        <v>0</v>
      </c>
      <c r="M1474" s="84">
        <v>0</v>
      </c>
      <c r="N1474" s="84">
        <v>0</v>
      </c>
    </row>
    <row r="1475" spans="1:14" x14ac:dyDescent="0.25">
      <c r="A1475" s="74" t="s">
        <v>3644</v>
      </c>
      <c r="B1475" s="74">
        <v>7670</v>
      </c>
      <c r="C1475" t="e">
        <f>VLOOKUP(B1475,'Waste Lookups'!$B$1:$C$292,2,FALSE)</f>
        <v>#N/A</v>
      </c>
      <c r="D1475" s="84">
        <v>5470.2000000000007</v>
      </c>
      <c r="E1475" s="84">
        <v>1684.8218181818183</v>
      </c>
      <c r="F1475" s="84">
        <v>0</v>
      </c>
      <c r="G1475" s="84">
        <v>0</v>
      </c>
      <c r="H1475" s="84">
        <v>0</v>
      </c>
      <c r="I1475" s="84"/>
      <c r="J1475" s="84">
        <v>5971.1848332080563</v>
      </c>
      <c r="K1475" s="84">
        <v>1839.1251667919444</v>
      </c>
      <c r="L1475" s="84">
        <v>0</v>
      </c>
      <c r="M1475" s="84">
        <v>0</v>
      </c>
      <c r="N1475" s="84">
        <v>0</v>
      </c>
    </row>
    <row r="1476" spans="1:14" x14ac:dyDescent="0.25">
      <c r="A1476" s="74" t="s">
        <v>3646</v>
      </c>
      <c r="B1476" s="74">
        <v>7671</v>
      </c>
      <c r="C1476" t="e">
        <f>VLOOKUP(B1476,'Waste Lookups'!$B$1:$C$292,2,FALSE)</f>
        <v>#N/A</v>
      </c>
      <c r="D1476" s="84">
        <v>4776.534545454545</v>
      </c>
      <c r="E1476" s="84">
        <v>437.83636363636367</v>
      </c>
      <c r="F1476" s="84">
        <v>0</v>
      </c>
      <c r="G1476" s="84">
        <v>0</v>
      </c>
      <c r="H1476" s="84">
        <v>0</v>
      </c>
      <c r="I1476" s="84"/>
      <c r="J1476" s="84">
        <v>3821.0565880657086</v>
      </c>
      <c r="K1476" s="84">
        <v>350.25341193429068</v>
      </c>
      <c r="L1476" s="84">
        <v>0</v>
      </c>
      <c r="M1476" s="84">
        <v>0</v>
      </c>
      <c r="N1476" s="84">
        <v>0</v>
      </c>
    </row>
    <row r="1477" spans="1:14" x14ac:dyDescent="0.25">
      <c r="A1477" s="74" t="s">
        <v>3648</v>
      </c>
      <c r="B1477" s="74">
        <v>7673</v>
      </c>
      <c r="C1477" t="e">
        <f>VLOOKUP(B1477,'Waste Lookups'!$B$1:$C$292,2,FALSE)</f>
        <v>#N/A</v>
      </c>
      <c r="D1477" s="84">
        <v>4086.3818181818178</v>
      </c>
      <c r="E1477" s="84">
        <v>741.62181818181818</v>
      </c>
      <c r="F1477" s="84">
        <v>0</v>
      </c>
      <c r="G1477" s="84">
        <v>0</v>
      </c>
      <c r="H1477" s="84">
        <v>0</v>
      </c>
      <c r="I1477" s="84"/>
      <c r="J1477" s="84">
        <v>4013.9106899068388</v>
      </c>
      <c r="K1477" s="84">
        <v>728.46931009316097</v>
      </c>
      <c r="L1477" s="84">
        <v>0</v>
      </c>
      <c r="M1477" s="84">
        <v>0</v>
      </c>
      <c r="N1477" s="84">
        <v>0</v>
      </c>
    </row>
    <row r="1478" spans="1:14" x14ac:dyDescent="0.25">
      <c r="A1478" s="74" t="s">
        <v>3650</v>
      </c>
      <c r="B1478" s="74">
        <v>7675</v>
      </c>
      <c r="C1478" t="e">
        <f>VLOOKUP(B1478,'Waste Lookups'!$B$1:$C$292,2,FALSE)</f>
        <v>#N/A</v>
      </c>
      <c r="D1478" s="84">
        <v>1877.0072727272727</v>
      </c>
      <c r="E1478" s="84">
        <v>0</v>
      </c>
      <c r="F1478" s="84">
        <v>0</v>
      </c>
      <c r="G1478" s="84">
        <v>0</v>
      </c>
      <c r="H1478" s="84">
        <v>0</v>
      </c>
      <c r="I1478" s="84"/>
      <c r="J1478" s="84">
        <v>3836.5299999999997</v>
      </c>
      <c r="K1478" s="84">
        <v>0</v>
      </c>
      <c r="L1478" s="84">
        <v>0</v>
      </c>
      <c r="M1478" s="84">
        <v>0</v>
      </c>
      <c r="N1478" s="84">
        <v>0</v>
      </c>
    </row>
    <row r="1479" spans="1:14" x14ac:dyDescent="0.25">
      <c r="A1479" s="74" t="s">
        <v>3652</v>
      </c>
      <c r="B1479" s="74">
        <v>7677</v>
      </c>
      <c r="C1479" t="e">
        <f>VLOOKUP(B1479,'Waste Lookups'!$B$1:$C$292,2,FALSE)</f>
        <v>#N/A</v>
      </c>
      <c r="D1479" s="84">
        <v>0</v>
      </c>
      <c r="E1479" s="84">
        <v>0</v>
      </c>
      <c r="F1479" s="84">
        <v>0</v>
      </c>
      <c r="G1479" s="84">
        <v>0</v>
      </c>
      <c r="H1479" s="84">
        <v>0</v>
      </c>
      <c r="I1479" s="84"/>
      <c r="J1479" s="84">
        <v>0</v>
      </c>
      <c r="K1479" s="84">
        <v>0</v>
      </c>
      <c r="L1479" s="84">
        <v>0</v>
      </c>
      <c r="M1479" s="84">
        <v>0</v>
      </c>
      <c r="N1479" s="84">
        <v>0</v>
      </c>
    </row>
    <row r="1480" spans="1:14" x14ac:dyDescent="0.25">
      <c r="A1480" s="74" t="s">
        <v>3654</v>
      </c>
      <c r="B1480" s="74">
        <v>7678</v>
      </c>
      <c r="C1480" t="e">
        <f>VLOOKUP(B1480,'Waste Lookups'!$B$1:$C$292,2,FALSE)</f>
        <v>#N/A</v>
      </c>
      <c r="D1480" s="84">
        <v>0</v>
      </c>
      <c r="E1480" s="84">
        <v>0</v>
      </c>
      <c r="F1480" s="84">
        <v>0</v>
      </c>
      <c r="G1480" s="84">
        <v>0</v>
      </c>
      <c r="H1480" s="84">
        <v>0</v>
      </c>
      <c r="I1480" s="84"/>
      <c r="J1480" s="84">
        <v>0</v>
      </c>
      <c r="K1480" s="84">
        <v>0</v>
      </c>
      <c r="L1480" s="84">
        <v>0</v>
      </c>
      <c r="M1480" s="84">
        <v>0</v>
      </c>
      <c r="N1480" s="84">
        <v>0</v>
      </c>
    </row>
    <row r="1481" spans="1:14" x14ac:dyDescent="0.25">
      <c r="A1481" s="74" t="s">
        <v>3656</v>
      </c>
      <c r="B1481" s="74">
        <v>7682</v>
      </c>
      <c r="C1481" t="e">
        <f>VLOOKUP(B1481,'Waste Lookups'!$B$1:$C$292,2,FALSE)</f>
        <v>#N/A</v>
      </c>
      <c r="D1481" s="84">
        <v>5819.9345454545446</v>
      </c>
      <c r="E1481" s="84">
        <v>1296.24</v>
      </c>
      <c r="F1481" s="84">
        <v>0</v>
      </c>
      <c r="G1481" s="84">
        <v>0</v>
      </c>
      <c r="H1481" s="84">
        <v>0</v>
      </c>
      <c r="I1481" s="84"/>
      <c r="J1481" s="84">
        <v>4585.6458957315172</v>
      </c>
      <c r="K1481" s="84">
        <v>1021.3341042684837</v>
      </c>
      <c r="L1481" s="84">
        <v>0</v>
      </c>
      <c r="M1481" s="84">
        <v>0</v>
      </c>
      <c r="N1481" s="84">
        <v>0</v>
      </c>
    </row>
    <row r="1482" spans="1:14" x14ac:dyDescent="0.25">
      <c r="A1482" s="74" t="s">
        <v>3658</v>
      </c>
      <c r="B1482" s="74">
        <v>7696</v>
      </c>
      <c r="C1482" t="e">
        <f>VLOOKUP(B1482,'Waste Lookups'!$B$1:$C$292,2,FALSE)</f>
        <v>#N/A</v>
      </c>
      <c r="D1482" s="84">
        <v>637.02545454545464</v>
      </c>
      <c r="E1482" s="84">
        <v>0</v>
      </c>
      <c r="F1482" s="84">
        <v>0</v>
      </c>
      <c r="G1482" s="84">
        <v>0</v>
      </c>
      <c r="H1482" s="84">
        <v>0</v>
      </c>
      <c r="I1482" s="84"/>
      <c r="J1482" s="84">
        <v>30</v>
      </c>
      <c r="K1482" s="84">
        <v>0</v>
      </c>
      <c r="L1482" s="84">
        <v>0</v>
      </c>
      <c r="M1482" s="84">
        <v>0</v>
      </c>
      <c r="N1482" s="84">
        <v>0</v>
      </c>
    </row>
    <row r="1483" spans="1:14" x14ac:dyDescent="0.25">
      <c r="A1483" s="74" t="s">
        <v>3660</v>
      </c>
      <c r="B1483" s="74">
        <v>7697</v>
      </c>
      <c r="C1483" t="e">
        <f>VLOOKUP(B1483,'Waste Lookups'!$B$1:$C$292,2,FALSE)</f>
        <v>#N/A</v>
      </c>
      <c r="D1483" s="84">
        <v>0</v>
      </c>
      <c r="E1483" s="84">
        <v>288.26181818181817</v>
      </c>
      <c r="F1483" s="84">
        <v>0</v>
      </c>
      <c r="G1483" s="84">
        <v>0</v>
      </c>
      <c r="H1483" s="84">
        <v>0</v>
      </c>
      <c r="I1483" s="84"/>
      <c r="J1483" s="84">
        <v>0</v>
      </c>
      <c r="K1483" s="84">
        <v>833.55</v>
      </c>
      <c r="L1483" s="84">
        <v>0</v>
      </c>
      <c r="M1483" s="84">
        <v>0</v>
      </c>
      <c r="N1483" s="84">
        <v>0</v>
      </c>
    </row>
    <row r="1484" spans="1:14" x14ac:dyDescent="0.25">
      <c r="A1484" s="74" t="s">
        <v>729</v>
      </c>
      <c r="B1484" s="74">
        <v>7698</v>
      </c>
      <c r="C1484" t="str">
        <f>VLOOKUP(B1484,'Waste Lookups'!$B$1:$C$292,2,FALSE)</f>
        <v>Cantilever House</v>
      </c>
      <c r="D1484" s="84">
        <v>2472.0218181818182</v>
      </c>
      <c r="E1484" s="84">
        <v>2413.08</v>
      </c>
      <c r="F1484" s="84">
        <v>0</v>
      </c>
      <c r="G1484" s="84">
        <v>0</v>
      </c>
      <c r="H1484" s="84">
        <v>0</v>
      </c>
      <c r="I1484" s="84"/>
      <c r="J1484" s="84">
        <v>2452.3109200292092</v>
      </c>
      <c r="K1484" s="84">
        <v>2393.8390799707904</v>
      </c>
      <c r="L1484" s="84">
        <v>0</v>
      </c>
      <c r="M1484" s="84">
        <v>0</v>
      </c>
      <c r="N1484" s="84">
        <v>0</v>
      </c>
    </row>
    <row r="1485" spans="1:14" x14ac:dyDescent="0.25">
      <c r="A1485" s="74" t="s">
        <v>3663</v>
      </c>
      <c r="B1485" s="74">
        <v>7699</v>
      </c>
      <c r="C1485" t="e">
        <f>VLOOKUP(B1485,'Waste Lookups'!$B$1:$C$292,2,FALSE)</f>
        <v>#N/A</v>
      </c>
      <c r="D1485" s="84">
        <v>5255.3236363636361</v>
      </c>
      <c r="E1485" s="84">
        <v>877.62545454545466</v>
      </c>
      <c r="F1485" s="84">
        <v>0</v>
      </c>
      <c r="G1485" s="84">
        <v>0</v>
      </c>
      <c r="H1485" s="84">
        <v>0</v>
      </c>
      <c r="I1485" s="84"/>
      <c r="J1485" s="84">
        <v>5742.6862495931064</v>
      </c>
      <c r="K1485" s="84">
        <v>959.01375040689311</v>
      </c>
      <c r="L1485" s="84">
        <v>0</v>
      </c>
      <c r="M1485" s="84">
        <v>0</v>
      </c>
      <c r="N1485" s="84">
        <v>0</v>
      </c>
    </row>
    <row r="1486" spans="1:14" x14ac:dyDescent="0.25">
      <c r="A1486" s="74" t="s">
        <v>3665</v>
      </c>
      <c r="B1486" s="74">
        <v>7700</v>
      </c>
      <c r="C1486" t="e">
        <f>VLOOKUP(B1486,'Waste Lookups'!$B$1:$C$292,2,FALSE)</f>
        <v>#N/A</v>
      </c>
      <c r="D1486" s="84">
        <v>6931.6581818181821</v>
      </c>
      <c r="E1486" s="84">
        <v>1143.3054545454545</v>
      </c>
      <c r="F1486" s="84">
        <v>0</v>
      </c>
      <c r="G1486" s="84">
        <v>0</v>
      </c>
      <c r="H1486" s="84">
        <v>0</v>
      </c>
      <c r="I1486" s="84"/>
      <c r="J1486" s="84">
        <v>3047.8831421025257</v>
      </c>
      <c r="K1486" s="84">
        <v>502.71685789747426</v>
      </c>
      <c r="L1486" s="84">
        <v>0</v>
      </c>
      <c r="M1486" s="84">
        <v>0</v>
      </c>
      <c r="N1486" s="84">
        <v>0</v>
      </c>
    </row>
    <row r="1487" spans="1:14" x14ac:dyDescent="0.25">
      <c r="A1487" s="74" t="s">
        <v>3667</v>
      </c>
      <c r="B1487" s="74">
        <v>7701</v>
      </c>
      <c r="C1487" t="e">
        <f>VLOOKUP(B1487,'Waste Lookups'!$B$1:$C$292,2,FALSE)</f>
        <v>#N/A</v>
      </c>
      <c r="D1487" s="84">
        <v>1408.3636363636363</v>
      </c>
      <c r="E1487" s="84">
        <v>399.27272727272725</v>
      </c>
      <c r="F1487" s="84">
        <v>0</v>
      </c>
      <c r="G1487" s="84">
        <v>0</v>
      </c>
      <c r="H1487" s="84">
        <v>0</v>
      </c>
      <c r="I1487" s="84"/>
      <c r="J1487" s="84">
        <v>22.952842486421243</v>
      </c>
      <c r="K1487" s="84">
        <v>6.5071575135787567</v>
      </c>
      <c r="L1487" s="84">
        <v>0</v>
      </c>
      <c r="M1487" s="84">
        <v>0</v>
      </c>
      <c r="N1487" s="84">
        <v>0</v>
      </c>
    </row>
    <row r="1488" spans="1:14" x14ac:dyDescent="0.25">
      <c r="A1488" s="74" t="s">
        <v>3669</v>
      </c>
      <c r="B1488" s="74">
        <v>7702</v>
      </c>
      <c r="C1488" t="e">
        <f>VLOOKUP(B1488,'Waste Lookups'!$B$1:$C$292,2,FALSE)</f>
        <v>#N/A</v>
      </c>
      <c r="D1488" s="84">
        <v>10051.778181818181</v>
      </c>
      <c r="E1488" s="84">
        <v>3044.2036363636362</v>
      </c>
      <c r="F1488" s="84">
        <v>0</v>
      </c>
      <c r="G1488" s="84">
        <v>0</v>
      </c>
      <c r="H1488" s="84">
        <v>0</v>
      </c>
      <c r="I1488" s="84"/>
      <c r="J1488" s="84">
        <v>7833.0063918981396</v>
      </c>
      <c r="K1488" s="84">
        <v>2372.2436081018604</v>
      </c>
      <c r="L1488" s="84">
        <v>0</v>
      </c>
      <c r="M1488" s="84">
        <v>0</v>
      </c>
      <c r="N1488" s="84">
        <v>0</v>
      </c>
    </row>
    <row r="1489" spans="1:14" x14ac:dyDescent="0.25">
      <c r="A1489" s="74" t="s">
        <v>3671</v>
      </c>
      <c r="B1489" s="74">
        <v>7703</v>
      </c>
      <c r="C1489" t="e">
        <f>VLOOKUP(B1489,'Waste Lookups'!$B$1:$C$292,2,FALSE)</f>
        <v>#N/A</v>
      </c>
      <c r="D1489" s="84">
        <v>519.93818181818187</v>
      </c>
      <c r="E1489" s="84">
        <v>2243.3454545454547</v>
      </c>
      <c r="F1489" s="84">
        <v>0</v>
      </c>
      <c r="G1489" s="84">
        <v>0</v>
      </c>
      <c r="H1489" s="84">
        <v>0</v>
      </c>
      <c r="I1489" s="84"/>
      <c r="J1489" s="84">
        <v>137.73654750672125</v>
      </c>
      <c r="K1489" s="84">
        <v>594.28345249327867</v>
      </c>
      <c r="L1489" s="84">
        <v>0</v>
      </c>
      <c r="M1489" s="84">
        <v>0</v>
      </c>
      <c r="N1489" s="84">
        <v>0</v>
      </c>
    </row>
    <row r="1490" spans="1:14" x14ac:dyDescent="0.25">
      <c r="A1490" s="74" t="s">
        <v>3673</v>
      </c>
      <c r="B1490" s="74">
        <v>7704</v>
      </c>
      <c r="C1490" t="e">
        <f>VLOOKUP(B1490,'Waste Lookups'!$B$1:$C$292,2,FALSE)</f>
        <v>#N/A</v>
      </c>
      <c r="D1490" s="84">
        <v>6670.1672727272726</v>
      </c>
      <c r="E1490" s="84">
        <v>2807.3454545454547</v>
      </c>
      <c r="F1490" s="84">
        <v>0</v>
      </c>
      <c r="G1490" s="84">
        <v>0</v>
      </c>
      <c r="H1490" s="84">
        <v>0</v>
      </c>
      <c r="I1490" s="84"/>
      <c r="J1490" s="84">
        <v>5342.1933117549825</v>
      </c>
      <c r="K1490" s="84">
        <v>2248.426688245017</v>
      </c>
      <c r="L1490" s="84">
        <v>0</v>
      </c>
      <c r="M1490" s="84">
        <v>0</v>
      </c>
      <c r="N1490" s="84">
        <v>0</v>
      </c>
    </row>
    <row r="1491" spans="1:14" x14ac:dyDescent="0.25">
      <c r="A1491" s="74" t="s">
        <v>3675</v>
      </c>
      <c r="B1491" s="74">
        <v>7718</v>
      </c>
      <c r="C1491" t="e">
        <f>VLOOKUP(B1491,'Waste Lookups'!$B$1:$C$292,2,FALSE)</f>
        <v>#N/A</v>
      </c>
      <c r="D1491" s="84">
        <v>4657.1345454545453</v>
      </c>
      <c r="E1491" s="84">
        <v>0</v>
      </c>
      <c r="F1491" s="84">
        <v>0</v>
      </c>
      <c r="G1491" s="84">
        <v>0</v>
      </c>
      <c r="H1491" s="84">
        <v>0</v>
      </c>
      <c r="I1491" s="84"/>
      <c r="J1491" s="84">
        <v>5444.64</v>
      </c>
      <c r="K1491" s="84">
        <v>0</v>
      </c>
      <c r="L1491" s="84">
        <v>0</v>
      </c>
      <c r="M1491" s="84">
        <v>0</v>
      </c>
      <c r="N1491" s="84">
        <v>0</v>
      </c>
    </row>
    <row r="1492" spans="1:14" x14ac:dyDescent="0.25">
      <c r="A1492" s="74" t="s">
        <v>3677</v>
      </c>
      <c r="B1492" s="74">
        <v>7719</v>
      </c>
      <c r="C1492" t="e">
        <f>VLOOKUP(B1492,'Waste Lookups'!$B$1:$C$292,2,FALSE)</f>
        <v>#N/A</v>
      </c>
      <c r="D1492" s="84">
        <v>6878.0290909090909</v>
      </c>
      <c r="E1492" s="84">
        <v>212.13818181818183</v>
      </c>
      <c r="F1492" s="84">
        <v>0</v>
      </c>
      <c r="G1492" s="84">
        <v>0</v>
      </c>
      <c r="H1492" s="84">
        <v>78.545454545454547</v>
      </c>
      <c r="I1492" s="84"/>
      <c r="J1492" s="84">
        <v>7477.4243406804098</v>
      </c>
      <c r="K1492" s="84">
        <v>230.62525373897481</v>
      </c>
      <c r="L1492" s="84">
        <v>0</v>
      </c>
      <c r="M1492" s="84">
        <v>0</v>
      </c>
      <c r="N1492" s="84">
        <v>85.39040558061393</v>
      </c>
    </row>
    <row r="1493" spans="1:14" x14ac:dyDescent="0.25">
      <c r="A1493" s="74" t="s">
        <v>3679</v>
      </c>
      <c r="B1493" s="74">
        <v>7720</v>
      </c>
      <c r="C1493" t="e">
        <f>VLOOKUP(B1493,'Waste Lookups'!$B$1:$C$292,2,FALSE)</f>
        <v>#N/A</v>
      </c>
      <c r="D1493" s="84">
        <v>389.36727272727273</v>
      </c>
      <c r="E1493" s="84">
        <v>0</v>
      </c>
      <c r="F1493" s="84">
        <v>0</v>
      </c>
      <c r="G1493" s="84">
        <v>0</v>
      </c>
      <c r="H1493" s="84">
        <v>0</v>
      </c>
      <c r="I1493" s="84"/>
      <c r="J1493" s="84">
        <v>6423.3</v>
      </c>
      <c r="K1493" s="84">
        <v>0</v>
      </c>
      <c r="L1493" s="84">
        <v>0</v>
      </c>
      <c r="M1493" s="84">
        <v>0</v>
      </c>
      <c r="N1493" s="84">
        <v>0</v>
      </c>
    </row>
    <row r="1494" spans="1:14" x14ac:dyDescent="0.25">
      <c r="A1494" s="74" t="s">
        <v>3681</v>
      </c>
      <c r="B1494" s="74">
        <v>7733</v>
      </c>
      <c r="C1494" t="e">
        <f>VLOOKUP(B1494,'Waste Lookups'!$B$1:$C$292,2,FALSE)</f>
        <v>#N/A</v>
      </c>
      <c r="D1494" s="84">
        <v>4667.6072727272731</v>
      </c>
      <c r="E1494" s="84">
        <v>755.62909090909091</v>
      </c>
      <c r="F1494" s="84">
        <v>0</v>
      </c>
      <c r="G1494" s="84">
        <v>0</v>
      </c>
      <c r="H1494" s="84">
        <v>0</v>
      </c>
      <c r="I1494" s="84"/>
      <c r="J1494" s="84">
        <v>6192.4907423008071</v>
      </c>
      <c r="K1494" s="84">
        <v>1002.4892576991932</v>
      </c>
      <c r="L1494" s="84">
        <v>0</v>
      </c>
      <c r="M1494" s="84">
        <v>0</v>
      </c>
      <c r="N1494" s="84">
        <v>0</v>
      </c>
    </row>
    <row r="1495" spans="1:14" x14ac:dyDescent="0.25">
      <c r="A1495" s="74" t="s">
        <v>3683</v>
      </c>
      <c r="B1495" s="74">
        <v>7735</v>
      </c>
      <c r="C1495" t="e">
        <f>VLOOKUP(B1495,'Waste Lookups'!$B$1:$C$292,2,FALSE)</f>
        <v>#N/A</v>
      </c>
      <c r="D1495" s="84">
        <v>26984.509090909087</v>
      </c>
      <c r="E1495" s="84">
        <v>16810.690909090907</v>
      </c>
      <c r="F1495" s="84">
        <v>0</v>
      </c>
      <c r="G1495" s="84">
        <v>0</v>
      </c>
      <c r="H1495" s="84">
        <v>0</v>
      </c>
      <c r="I1495" s="84"/>
      <c r="J1495" s="84">
        <v>23782.495468444864</v>
      </c>
      <c r="K1495" s="84">
        <v>14815.91453155514</v>
      </c>
      <c r="L1495" s="84">
        <v>0</v>
      </c>
      <c r="M1495" s="84">
        <v>0</v>
      </c>
      <c r="N1495" s="84">
        <v>0</v>
      </c>
    </row>
    <row r="1496" spans="1:14" x14ac:dyDescent="0.25">
      <c r="A1496" s="74" t="s">
        <v>3685</v>
      </c>
      <c r="B1496" s="74">
        <v>7737</v>
      </c>
      <c r="C1496" t="e">
        <f>VLOOKUP(B1496,'Waste Lookups'!$B$1:$C$292,2,FALSE)</f>
        <v>#N/A</v>
      </c>
      <c r="D1496" s="84">
        <v>2292</v>
      </c>
      <c r="E1496" s="84">
        <v>0</v>
      </c>
      <c r="F1496" s="84">
        <v>0</v>
      </c>
      <c r="G1496" s="84">
        <v>0</v>
      </c>
      <c r="H1496" s="84">
        <v>0</v>
      </c>
      <c r="I1496" s="84"/>
      <c r="J1496" s="84">
        <v>1967.63</v>
      </c>
      <c r="K1496" s="84">
        <v>0</v>
      </c>
      <c r="L1496" s="84">
        <v>0</v>
      </c>
      <c r="M1496" s="84">
        <v>0</v>
      </c>
      <c r="N1496" s="84">
        <v>0</v>
      </c>
    </row>
    <row r="1497" spans="1:14" x14ac:dyDescent="0.25">
      <c r="A1497" s="74" t="s">
        <v>3687</v>
      </c>
      <c r="B1497" s="74">
        <v>7739</v>
      </c>
      <c r="C1497" t="e">
        <f>VLOOKUP(B1497,'Waste Lookups'!$B$1:$C$292,2,FALSE)</f>
        <v>#N/A</v>
      </c>
      <c r="D1497" s="84">
        <v>10650.130909090911</v>
      </c>
      <c r="E1497" s="84">
        <v>4049.5745454545458</v>
      </c>
      <c r="F1497" s="84">
        <v>0</v>
      </c>
      <c r="G1497" s="84">
        <v>0</v>
      </c>
      <c r="H1497" s="84">
        <v>0</v>
      </c>
      <c r="I1497" s="84"/>
      <c r="J1497" s="84">
        <v>9630.077551817365</v>
      </c>
      <c r="K1497" s="84">
        <v>3661.7124481826354</v>
      </c>
      <c r="L1497" s="84">
        <v>0</v>
      </c>
      <c r="M1497" s="84">
        <v>0</v>
      </c>
      <c r="N1497" s="84">
        <v>0</v>
      </c>
    </row>
    <row r="1498" spans="1:14" x14ac:dyDescent="0.25">
      <c r="A1498" s="74" t="s">
        <v>3689</v>
      </c>
      <c r="B1498" s="74">
        <v>7743</v>
      </c>
      <c r="C1498" t="e">
        <f>VLOOKUP(B1498,'Waste Lookups'!$B$1:$C$292,2,FALSE)</f>
        <v>#N/A</v>
      </c>
      <c r="D1498" s="84">
        <v>4825.636363636364</v>
      </c>
      <c r="E1498" s="84">
        <v>889.70181818181823</v>
      </c>
      <c r="F1498" s="84">
        <v>0</v>
      </c>
      <c r="G1498" s="84">
        <v>0</v>
      </c>
      <c r="H1498" s="84">
        <v>0</v>
      </c>
      <c r="I1498" s="84"/>
      <c r="J1498" s="84">
        <v>3160.060197821746</v>
      </c>
      <c r="K1498" s="84">
        <v>582.61980217825328</v>
      </c>
      <c r="L1498" s="84">
        <v>0</v>
      </c>
      <c r="M1498" s="84">
        <v>0</v>
      </c>
      <c r="N1498" s="84">
        <v>0</v>
      </c>
    </row>
    <row r="1499" spans="1:14" x14ac:dyDescent="0.25">
      <c r="A1499" s="74" t="s">
        <v>3691</v>
      </c>
      <c r="B1499" s="74">
        <v>7744</v>
      </c>
      <c r="C1499" t="e">
        <f>VLOOKUP(B1499,'Waste Lookups'!$B$1:$C$292,2,FALSE)</f>
        <v>#N/A</v>
      </c>
      <c r="D1499" s="84">
        <v>257.32363636363635</v>
      </c>
      <c r="E1499" s="84">
        <v>661.57090909090914</v>
      </c>
      <c r="F1499" s="84">
        <v>0</v>
      </c>
      <c r="G1499" s="84">
        <v>0</v>
      </c>
      <c r="H1499" s="84">
        <v>0</v>
      </c>
      <c r="I1499" s="84"/>
      <c r="J1499" s="84">
        <v>55.648771963149393</v>
      </c>
      <c r="K1499" s="84">
        <v>143.07122803685061</v>
      </c>
      <c r="L1499" s="84">
        <v>0</v>
      </c>
      <c r="M1499" s="84">
        <v>0</v>
      </c>
      <c r="N1499" s="84">
        <v>0</v>
      </c>
    </row>
    <row r="1500" spans="1:14" x14ac:dyDescent="0.25">
      <c r="A1500" s="74" t="s">
        <v>3693</v>
      </c>
      <c r="B1500" s="74">
        <v>7747</v>
      </c>
      <c r="C1500" t="e">
        <f>VLOOKUP(B1500,'Waste Lookups'!$B$1:$C$292,2,FALSE)</f>
        <v>#N/A</v>
      </c>
      <c r="D1500" s="84">
        <v>989.23636363636365</v>
      </c>
      <c r="E1500" s="84">
        <v>640.00363636363636</v>
      </c>
      <c r="F1500" s="84">
        <v>0</v>
      </c>
      <c r="G1500" s="84">
        <v>0</v>
      </c>
      <c r="H1500" s="84">
        <v>0</v>
      </c>
      <c r="I1500" s="84"/>
      <c r="J1500" s="84">
        <v>3602.5972051664917</v>
      </c>
      <c r="K1500" s="84">
        <v>2330.7627948335085</v>
      </c>
      <c r="L1500" s="84">
        <v>0</v>
      </c>
      <c r="M1500" s="84">
        <v>0</v>
      </c>
      <c r="N1500" s="84">
        <v>0</v>
      </c>
    </row>
    <row r="1501" spans="1:14" x14ac:dyDescent="0.25">
      <c r="A1501" s="74" t="s">
        <v>3695</v>
      </c>
      <c r="B1501" s="74">
        <v>7749</v>
      </c>
      <c r="C1501" t="e">
        <f>VLOOKUP(B1501,'Waste Lookups'!$B$1:$C$292,2,FALSE)</f>
        <v>#N/A</v>
      </c>
      <c r="D1501" s="84">
        <v>1999.7127272727271</v>
      </c>
      <c r="E1501" s="84">
        <v>873.94909090909096</v>
      </c>
      <c r="F1501" s="84">
        <v>0</v>
      </c>
      <c r="G1501" s="84">
        <v>0</v>
      </c>
      <c r="H1501" s="84">
        <v>0</v>
      </c>
      <c r="I1501" s="84"/>
      <c r="J1501" s="84">
        <v>1961.4243561778005</v>
      </c>
      <c r="K1501" s="84">
        <v>857.21564382219981</v>
      </c>
      <c r="L1501" s="84">
        <v>0</v>
      </c>
      <c r="M1501" s="84">
        <v>0</v>
      </c>
      <c r="N1501" s="84">
        <v>0</v>
      </c>
    </row>
    <row r="1502" spans="1:14" x14ac:dyDescent="0.25">
      <c r="A1502" s="74" t="s">
        <v>3697</v>
      </c>
      <c r="B1502" s="74">
        <v>7766</v>
      </c>
      <c r="C1502" t="e">
        <f>VLOOKUP(B1502,'Waste Lookups'!$B$1:$C$292,2,FALSE)</f>
        <v>#N/A</v>
      </c>
      <c r="D1502" s="84">
        <v>0</v>
      </c>
      <c r="E1502" s="84">
        <v>0</v>
      </c>
      <c r="F1502" s="84">
        <v>0</v>
      </c>
      <c r="G1502" s="84">
        <v>0</v>
      </c>
      <c r="H1502" s="84">
        <v>0</v>
      </c>
      <c r="I1502" s="84"/>
      <c r="J1502" s="84">
        <v>0</v>
      </c>
      <c r="K1502" s="84">
        <v>0</v>
      </c>
      <c r="L1502" s="84">
        <v>0</v>
      </c>
      <c r="M1502" s="84">
        <v>0</v>
      </c>
      <c r="N1502" s="84">
        <v>0</v>
      </c>
    </row>
    <row r="1503" spans="1:14" x14ac:dyDescent="0.25">
      <c r="A1503" s="74" t="s">
        <v>3699</v>
      </c>
      <c r="B1503" s="74">
        <v>7768</v>
      </c>
      <c r="C1503" t="e">
        <f>VLOOKUP(B1503,'Waste Lookups'!$B$1:$C$292,2,FALSE)</f>
        <v>#N/A</v>
      </c>
      <c r="D1503" s="84">
        <v>3832.1454545454549</v>
      </c>
      <c r="E1503" s="84">
        <v>0</v>
      </c>
      <c r="F1503" s="84">
        <v>0</v>
      </c>
      <c r="G1503" s="84">
        <v>0</v>
      </c>
      <c r="H1503" s="84">
        <v>0</v>
      </c>
      <c r="I1503" s="84"/>
      <c r="J1503" s="84">
        <v>3585.42</v>
      </c>
      <c r="K1503" s="84">
        <v>0</v>
      </c>
      <c r="L1503" s="84">
        <v>0</v>
      </c>
      <c r="M1503" s="84">
        <v>0</v>
      </c>
      <c r="N1503" s="84">
        <v>0</v>
      </c>
    </row>
    <row r="1504" spans="1:14" x14ac:dyDescent="0.25">
      <c r="A1504" s="74" t="s">
        <v>3701</v>
      </c>
      <c r="B1504" s="74">
        <v>7769</v>
      </c>
      <c r="C1504" t="e">
        <f>VLOOKUP(B1504,'Waste Lookups'!$B$1:$C$292,2,FALSE)</f>
        <v>#N/A</v>
      </c>
      <c r="D1504" s="84">
        <v>5928.48</v>
      </c>
      <c r="E1504" s="84">
        <v>0</v>
      </c>
      <c r="F1504" s="84">
        <v>0</v>
      </c>
      <c r="G1504" s="84">
        <v>0</v>
      </c>
      <c r="H1504" s="84">
        <v>0</v>
      </c>
      <c r="I1504" s="84"/>
      <c r="J1504" s="84">
        <v>6168.45</v>
      </c>
      <c r="K1504" s="84">
        <v>0</v>
      </c>
      <c r="L1504" s="84">
        <v>0</v>
      </c>
      <c r="M1504" s="84">
        <v>0</v>
      </c>
      <c r="N1504" s="84">
        <v>0</v>
      </c>
    </row>
    <row r="1505" spans="1:14" x14ac:dyDescent="0.25">
      <c r="A1505" s="74" t="s">
        <v>3703</v>
      </c>
      <c r="B1505" s="74">
        <v>7770</v>
      </c>
      <c r="C1505" t="e">
        <f>VLOOKUP(B1505,'Waste Lookups'!$B$1:$C$292,2,FALSE)</f>
        <v>#N/A</v>
      </c>
      <c r="D1505" s="84">
        <v>4411.7345454545457</v>
      </c>
      <c r="E1505" s="84">
        <v>0</v>
      </c>
      <c r="F1505" s="84">
        <v>0</v>
      </c>
      <c r="G1505" s="84">
        <v>0</v>
      </c>
      <c r="H1505" s="84">
        <v>0</v>
      </c>
      <c r="I1505" s="84"/>
      <c r="J1505" s="84">
        <v>4629.82</v>
      </c>
      <c r="K1505" s="84">
        <v>0</v>
      </c>
      <c r="L1505" s="84">
        <v>0</v>
      </c>
      <c r="M1505" s="84">
        <v>0</v>
      </c>
      <c r="N1505" s="84">
        <v>0</v>
      </c>
    </row>
    <row r="1506" spans="1:14" x14ac:dyDescent="0.25">
      <c r="A1506" s="74" t="s">
        <v>3705</v>
      </c>
      <c r="B1506" s="74">
        <v>7772</v>
      </c>
      <c r="C1506" t="e">
        <f>VLOOKUP(B1506,'Waste Lookups'!$B$1:$C$292,2,FALSE)</f>
        <v>#N/A</v>
      </c>
      <c r="D1506" s="84">
        <v>56.16</v>
      </c>
      <c r="E1506" s="84">
        <v>0</v>
      </c>
      <c r="F1506" s="84">
        <v>0</v>
      </c>
      <c r="G1506" s="84">
        <v>0</v>
      </c>
      <c r="H1506" s="84">
        <v>0</v>
      </c>
      <c r="I1506" s="84"/>
      <c r="J1506" s="84">
        <v>0</v>
      </c>
      <c r="K1506" s="84">
        <v>0</v>
      </c>
      <c r="L1506" s="84">
        <v>0</v>
      </c>
      <c r="M1506" s="84">
        <v>0</v>
      </c>
      <c r="N1506" s="84">
        <v>0</v>
      </c>
    </row>
    <row r="1507" spans="1:14" x14ac:dyDescent="0.25">
      <c r="A1507" s="74" t="s">
        <v>3707</v>
      </c>
      <c r="B1507" s="74">
        <v>7774</v>
      </c>
      <c r="C1507" t="e">
        <f>VLOOKUP(B1507,'Waste Lookups'!$B$1:$C$292,2,FALSE)</f>
        <v>#N/A</v>
      </c>
      <c r="D1507" s="84">
        <v>3459.9054545454546</v>
      </c>
      <c r="E1507" s="84">
        <v>0</v>
      </c>
      <c r="F1507" s="84">
        <v>0</v>
      </c>
      <c r="G1507" s="84">
        <v>0</v>
      </c>
      <c r="H1507" s="84">
        <v>0</v>
      </c>
      <c r="I1507" s="84"/>
      <c r="J1507" s="84">
        <v>3687.15</v>
      </c>
      <c r="K1507" s="84">
        <v>0</v>
      </c>
      <c r="L1507" s="84">
        <v>0</v>
      </c>
      <c r="M1507" s="84">
        <v>0</v>
      </c>
      <c r="N1507" s="84">
        <v>0</v>
      </c>
    </row>
    <row r="1508" spans="1:14" x14ac:dyDescent="0.25">
      <c r="A1508" s="74" t="s">
        <v>3709</v>
      </c>
      <c r="B1508" s="74">
        <v>7775</v>
      </c>
      <c r="C1508" t="e">
        <f>VLOOKUP(B1508,'Waste Lookups'!$B$1:$C$292,2,FALSE)</f>
        <v>#N/A</v>
      </c>
      <c r="D1508" s="84">
        <v>0</v>
      </c>
      <c r="E1508" s="84">
        <v>0</v>
      </c>
      <c r="F1508" s="84">
        <v>0</v>
      </c>
      <c r="G1508" s="84">
        <v>0</v>
      </c>
      <c r="H1508" s="84">
        <v>0</v>
      </c>
      <c r="I1508" s="84"/>
      <c r="J1508" s="84">
        <v>0</v>
      </c>
      <c r="K1508" s="84">
        <v>0</v>
      </c>
      <c r="L1508" s="84">
        <v>0</v>
      </c>
      <c r="M1508" s="84">
        <v>0</v>
      </c>
      <c r="N1508" s="84">
        <v>0</v>
      </c>
    </row>
    <row r="1509" spans="1:14" x14ac:dyDescent="0.25">
      <c r="A1509" s="74" t="s">
        <v>3711</v>
      </c>
      <c r="B1509" s="74">
        <v>7778</v>
      </c>
      <c r="C1509" t="e">
        <f>VLOOKUP(B1509,'Waste Lookups'!$B$1:$C$292,2,FALSE)</f>
        <v>#N/A</v>
      </c>
      <c r="D1509" s="84">
        <v>3658.32</v>
      </c>
      <c r="E1509" s="84">
        <v>0</v>
      </c>
      <c r="F1509" s="84">
        <v>0</v>
      </c>
      <c r="G1509" s="84">
        <v>0</v>
      </c>
      <c r="H1509" s="84">
        <v>0</v>
      </c>
      <c r="I1509" s="84"/>
      <c r="J1509" s="84">
        <v>6178.73</v>
      </c>
      <c r="K1509" s="84">
        <v>0</v>
      </c>
      <c r="L1509" s="84">
        <v>0</v>
      </c>
      <c r="M1509" s="84">
        <v>0</v>
      </c>
      <c r="N1509" s="84">
        <v>0</v>
      </c>
    </row>
    <row r="1510" spans="1:14" x14ac:dyDescent="0.25">
      <c r="A1510" s="74" t="s">
        <v>3713</v>
      </c>
      <c r="B1510" s="74">
        <v>7779</v>
      </c>
      <c r="C1510" t="e">
        <f>VLOOKUP(B1510,'Waste Lookups'!$B$1:$C$292,2,FALSE)</f>
        <v>#N/A</v>
      </c>
      <c r="D1510" s="84">
        <v>3864.0981818181817</v>
      </c>
      <c r="E1510" s="84">
        <v>19873.898181818182</v>
      </c>
      <c r="F1510" s="84">
        <v>0</v>
      </c>
      <c r="G1510" s="84">
        <v>0</v>
      </c>
      <c r="H1510" s="84">
        <v>0</v>
      </c>
      <c r="I1510" s="84"/>
      <c r="J1510" s="84">
        <v>0</v>
      </c>
      <c r="K1510" s="84">
        <v>0</v>
      </c>
      <c r="L1510" s="84">
        <v>0</v>
      </c>
      <c r="M1510" s="84">
        <v>0</v>
      </c>
      <c r="N1510" s="84">
        <v>0</v>
      </c>
    </row>
    <row r="1511" spans="1:14" x14ac:dyDescent="0.25">
      <c r="A1511" s="74" t="s">
        <v>3715</v>
      </c>
      <c r="B1511" s="74">
        <v>7782</v>
      </c>
      <c r="C1511" t="e">
        <f>VLOOKUP(B1511,'Waste Lookups'!$B$1:$C$292,2,FALSE)</f>
        <v>#N/A</v>
      </c>
      <c r="D1511" s="84">
        <v>0</v>
      </c>
      <c r="E1511" s="84">
        <v>0</v>
      </c>
      <c r="F1511" s="84">
        <v>0</v>
      </c>
      <c r="G1511" s="84">
        <v>0</v>
      </c>
      <c r="H1511" s="84">
        <v>0</v>
      </c>
      <c r="I1511" s="84"/>
      <c r="J1511" s="84">
        <v>0</v>
      </c>
      <c r="K1511" s="84">
        <v>0</v>
      </c>
      <c r="L1511" s="84">
        <v>0</v>
      </c>
      <c r="M1511" s="84">
        <v>0</v>
      </c>
      <c r="N1511" s="84">
        <v>0</v>
      </c>
    </row>
    <row r="1512" spans="1:14" x14ac:dyDescent="0.25">
      <c r="A1512" s="74" t="s">
        <v>3717</v>
      </c>
      <c r="B1512" s="74">
        <v>7783</v>
      </c>
      <c r="C1512" t="e">
        <f>VLOOKUP(B1512,'Waste Lookups'!$B$1:$C$292,2,FALSE)</f>
        <v>#N/A</v>
      </c>
      <c r="D1512" s="84">
        <v>0</v>
      </c>
      <c r="E1512" s="84">
        <v>0</v>
      </c>
      <c r="F1512" s="84">
        <v>0</v>
      </c>
      <c r="G1512" s="84">
        <v>0</v>
      </c>
      <c r="H1512" s="84">
        <v>0</v>
      </c>
      <c r="I1512" s="84"/>
      <c r="J1512" s="84">
        <v>0</v>
      </c>
      <c r="K1512" s="84">
        <v>0</v>
      </c>
      <c r="L1512" s="84">
        <v>0</v>
      </c>
      <c r="M1512" s="84">
        <v>0</v>
      </c>
      <c r="N1512" s="84">
        <v>0</v>
      </c>
    </row>
    <row r="1513" spans="1:14" x14ac:dyDescent="0.25">
      <c r="A1513" s="74" t="s">
        <v>3719</v>
      </c>
      <c r="B1513" s="74">
        <v>7785</v>
      </c>
      <c r="C1513" t="e">
        <f>VLOOKUP(B1513,'Waste Lookups'!$B$1:$C$292,2,FALSE)</f>
        <v>#N/A</v>
      </c>
      <c r="D1513" s="84">
        <v>78.61090909090909</v>
      </c>
      <c r="E1513" s="84">
        <v>0</v>
      </c>
      <c r="F1513" s="84">
        <v>0</v>
      </c>
      <c r="G1513" s="84">
        <v>0</v>
      </c>
      <c r="H1513" s="84">
        <v>0</v>
      </c>
      <c r="I1513" s="84"/>
      <c r="J1513" s="84">
        <v>0</v>
      </c>
      <c r="K1513" s="84">
        <v>0</v>
      </c>
      <c r="L1513" s="84">
        <v>0</v>
      </c>
      <c r="M1513" s="84">
        <v>0</v>
      </c>
      <c r="N1513" s="84">
        <v>0</v>
      </c>
    </row>
    <row r="1514" spans="1:14" x14ac:dyDescent="0.25">
      <c r="A1514" s="74" t="s">
        <v>3721</v>
      </c>
      <c r="B1514" s="74">
        <v>7786</v>
      </c>
      <c r="C1514" t="e">
        <f>VLOOKUP(B1514,'Waste Lookups'!$B$1:$C$292,2,FALSE)</f>
        <v>#N/A</v>
      </c>
      <c r="D1514" s="84">
        <v>2.8800000000000003</v>
      </c>
      <c r="E1514" s="84">
        <v>0</v>
      </c>
      <c r="F1514" s="84">
        <v>0</v>
      </c>
      <c r="G1514" s="84">
        <v>0</v>
      </c>
      <c r="H1514" s="84">
        <v>0</v>
      </c>
      <c r="I1514" s="84"/>
      <c r="J1514" s="84">
        <v>34.07</v>
      </c>
      <c r="K1514" s="84">
        <v>0</v>
      </c>
      <c r="L1514" s="84">
        <v>0</v>
      </c>
      <c r="M1514" s="84">
        <v>0</v>
      </c>
      <c r="N1514" s="84">
        <v>0</v>
      </c>
    </row>
    <row r="1515" spans="1:14" x14ac:dyDescent="0.25">
      <c r="A1515" s="74" t="s">
        <v>3723</v>
      </c>
      <c r="B1515" s="74">
        <v>7787</v>
      </c>
      <c r="C1515" t="e">
        <f>VLOOKUP(B1515,'Waste Lookups'!$B$1:$C$292,2,FALSE)</f>
        <v>#N/A</v>
      </c>
      <c r="D1515" s="84">
        <v>361.79999999999995</v>
      </c>
      <c r="E1515" s="84">
        <v>0</v>
      </c>
      <c r="F1515" s="84">
        <v>0</v>
      </c>
      <c r="G1515" s="84">
        <v>0</v>
      </c>
      <c r="H1515" s="84">
        <v>0</v>
      </c>
      <c r="I1515" s="84"/>
      <c r="J1515" s="84">
        <v>3358.21</v>
      </c>
      <c r="K1515" s="84">
        <v>0</v>
      </c>
      <c r="L1515" s="84">
        <v>0</v>
      </c>
      <c r="M1515" s="84">
        <v>0</v>
      </c>
      <c r="N1515" s="84">
        <v>0</v>
      </c>
    </row>
    <row r="1516" spans="1:14" x14ac:dyDescent="0.25">
      <c r="A1516" s="74" t="s">
        <v>3725</v>
      </c>
      <c r="B1516" s="74">
        <v>7789</v>
      </c>
      <c r="C1516" t="e">
        <f>VLOOKUP(B1516,'Waste Lookups'!$B$1:$C$292,2,FALSE)</f>
        <v>#N/A</v>
      </c>
      <c r="D1516" s="84">
        <v>4792.3309090909097</v>
      </c>
      <c r="E1516" s="84">
        <v>0</v>
      </c>
      <c r="F1516" s="84">
        <v>0</v>
      </c>
      <c r="G1516" s="84">
        <v>0</v>
      </c>
      <c r="H1516" s="84">
        <v>0</v>
      </c>
      <c r="I1516" s="84"/>
      <c r="J1516" s="84">
        <v>5103.72</v>
      </c>
      <c r="K1516" s="84">
        <v>0</v>
      </c>
      <c r="L1516" s="84">
        <v>0</v>
      </c>
      <c r="M1516" s="84">
        <v>0</v>
      </c>
      <c r="N1516" s="84">
        <v>0</v>
      </c>
    </row>
    <row r="1517" spans="1:14" x14ac:dyDescent="0.25">
      <c r="A1517" s="74" t="s">
        <v>3727</v>
      </c>
      <c r="B1517" s="74">
        <v>7790</v>
      </c>
      <c r="C1517" t="e">
        <f>VLOOKUP(B1517,'Waste Lookups'!$B$1:$C$292,2,FALSE)</f>
        <v>#N/A</v>
      </c>
      <c r="D1517" s="84">
        <v>0</v>
      </c>
      <c r="E1517" s="84">
        <v>0</v>
      </c>
      <c r="F1517" s="84">
        <v>0</v>
      </c>
      <c r="G1517" s="84">
        <v>0</v>
      </c>
      <c r="H1517" s="84">
        <v>0</v>
      </c>
      <c r="I1517" s="84"/>
      <c r="J1517" s="84">
        <v>0</v>
      </c>
      <c r="K1517" s="84">
        <v>0</v>
      </c>
      <c r="L1517" s="84">
        <v>0</v>
      </c>
      <c r="M1517" s="84">
        <v>0</v>
      </c>
      <c r="N1517" s="84">
        <v>0</v>
      </c>
    </row>
    <row r="1518" spans="1:14" x14ac:dyDescent="0.25">
      <c r="A1518" s="74" t="s">
        <v>3729</v>
      </c>
      <c r="B1518" s="74">
        <v>7791</v>
      </c>
      <c r="C1518" t="e">
        <f>VLOOKUP(B1518,'Waste Lookups'!$B$1:$C$292,2,FALSE)</f>
        <v>#N/A</v>
      </c>
      <c r="D1518" s="84">
        <v>0</v>
      </c>
      <c r="E1518" s="84">
        <v>0</v>
      </c>
      <c r="F1518" s="84">
        <v>0</v>
      </c>
      <c r="G1518" s="84">
        <v>0</v>
      </c>
      <c r="H1518" s="84">
        <v>0</v>
      </c>
      <c r="I1518" s="84"/>
      <c r="J1518" s="84">
        <v>0</v>
      </c>
      <c r="K1518" s="84">
        <v>0</v>
      </c>
      <c r="L1518" s="84">
        <v>0</v>
      </c>
      <c r="M1518" s="84">
        <v>0</v>
      </c>
      <c r="N1518" s="84">
        <v>0</v>
      </c>
    </row>
    <row r="1519" spans="1:14" x14ac:dyDescent="0.25">
      <c r="A1519" s="74" t="s">
        <v>3731</v>
      </c>
      <c r="B1519" s="74">
        <v>7793</v>
      </c>
      <c r="C1519" t="e">
        <f>VLOOKUP(B1519,'Waste Lookups'!$B$1:$C$292,2,FALSE)</f>
        <v>#N/A</v>
      </c>
      <c r="D1519" s="84">
        <v>2095.3636363636365</v>
      </c>
      <c r="E1519" s="84">
        <v>0</v>
      </c>
      <c r="F1519" s="84">
        <v>0</v>
      </c>
      <c r="G1519" s="84">
        <v>0</v>
      </c>
      <c r="H1519" s="84">
        <v>0</v>
      </c>
      <c r="I1519" s="84"/>
      <c r="J1519" s="84">
        <v>6302.68</v>
      </c>
      <c r="K1519" s="84">
        <v>0</v>
      </c>
      <c r="L1519" s="84">
        <v>0</v>
      </c>
      <c r="M1519" s="84">
        <v>0</v>
      </c>
      <c r="N1519" s="84">
        <v>0</v>
      </c>
    </row>
    <row r="1520" spans="1:14" x14ac:dyDescent="0.25">
      <c r="A1520" s="74" t="s">
        <v>3733</v>
      </c>
      <c r="B1520" s="74">
        <v>7794</v>
      </c>
      <c r="C1520" t="e">
        <f>VLOOKUP(B1520,'Waste Lookups'!$B$1:$C$292,2,FALSE)</f>
        <v>#N/A</v>
      </c>
      <c r="D1520" s="84">
        <v>3042.6981818181816</v>
      </c>
      <c r="E1520" s="84">
        <v>0</v>
      </c>
      <c r="F1520" s="84">
        <v>0</v>
      </c>
      <c r="G1520" s="84">
        <v>0</v>
      </c>
      <c r="H1520" s="84">
        <v>0</v>
      </c>
      <c r="I1520" s="84"/>
      <c r="J1520" s="84">
        <v>3377.55</v>
      </c>
      <c r="K1520" s="84">
        <v>0</v>
      </c>
      <c r="L1520" s="84">
        <v>0</v>
      </c>
      <c r="M1520" s="84">
        <v>0</v>
      </c>
      <c r="N1520" s="84">
        <v>0</v>
      </c>
    </row>
    <row r="1521" spans="1:14" x14ac:dyDescent="0.25">
      <c r="A1521" s="74" t="s">
        <v>3735</v>
      </c>
      <c r="B1521" s="74">
        <v>7812</v>
      </c>
      <c r="C1521" t="e">
        <f>VLOOKUP(B1521,'Waste Lookups'!$B$1:$C$292,2,FALSE)</f>
        <v>#N/A</v>
      </c>
      <c r="D1521" s="84">
        <v>2177.792727272727</v>
      </c>
      <c r="E1521" s="84">
        <v>0</v>
      </c>
      <c r="F1521" s="84">
        <v>0</v>
      </c>
      <c r="G1521" s="84">
        <v>0</v>
      </c>
      <c r="H1521" s="84">
        <v>0</v>
      </c>
      <c r="I1521" s="84"/>
      <c r="J1521" s="84">
        <v>961.8</v>
      </c>
      <c r="K1521" s="84">
        <v>0</v>
      </c>
      <c r="L1521" s="84">
        <v>0</v>
      </c>
      <c r="M1521" s="84">
        <v>0</v>
      </c>
      <c r="N1521" s="84">
        <v>0</v>
      </c>
    </row>
    <row r="1522" spans="1:14" x14ac:dyDescent="0.25">
      <c r="A1522" s="74" t="s">
        <v>3737</v>
      </c>
      <c r="B1522" s="74">
        <v>7813</v>
      </c>
      <c r="C1522" t="e">
        <f>VLOOKUP(B1522,'Waste Lookups'!$B$1:$C$292,2,FALSE)</f>
        <v>#N/A</v>
      </c>
      <c r="D1522" s="84">
        <v>0</v>
      </c>
      <c r="E1522" s="84">
        <v>0</v>
      </c>
      <c r="F1522" s="84">
        <v>0</v>
      </c>
      <c r="G1522" s="84">
        <v>0</v>
      </c>
      <c r="H1522" s="84">
        <v>2501.1490909090908</v>
      </c>
      <c r="I1522" s="84"/>
      <c r="J1522" s="84">
        <v>0</v>
      </c>
      <c r="K1522" s="84">
        <v>0</v>
      </c>
      <c r="L1522" s="84">
        <v>0</v>
      </c>
      <c r="M1522" s="84">
        <v>0</v>
      </c>
      <c r="N1522" s="84">
        <v>4939.84</v>
      </c>
    </row>
    <row r="1523" spans="1:14" x14ac:dyDescent="0.25">
      <c r="A1523" s="74" t="s">
        <v>3739</v>
      </c>
      <c r="B1523" s="74">
        <v>7816</v>
      </c>
      <c r="C1523" t="e">
        <f>VLOOKUP(B1523,'Waste Lookups'!$B$1:$C$292,2,FALSE)</f>
        <v>#N/A</v>
      </c>
      <c r="D1523" s="84">
        <v>0</v>
      </c>
      <c r="E1523" s="84">
        <v>0</v>
      </c>
      <c r="F1523" s="84">
        <v>0</v>
      </c>
      <c r="G1523" s="84">
        <v>0</v>
      </c>
      <c r="H1523" s="84">
        <v>0</v>
      </c>
      <c r="I1523" s="84"/>
      <c r="J1523" s="84">
        <v>0</v>
      </c>
      <c r="K1523" s="84">
        <v>0</v>
      </c>
      <c r="L1523" s="84">
        <v>0</v>
      </c>
      <c r="M1523" s="84">
        <v>0</v>
      </c>
      <c r="N1523" s="84">
        <v>0</v>
      </c>
    </row>
    <row r="1524" spans="1:14" x14ac:dyDescent="0.25">
      <c r="A1524" s="74" t="s">
        <v>3741</v>
      </c>
      <c r="B1524" s="74">
        <v>7821</v>
      </c>
      <c r="C1524" t="e">
        <f>VLOOKUP(B1524,'Waste Lookups'!$B$1:$C$292,2,FALSE)</f>
        <v>#N/A</v>
      </c>
      <c r="D1524" s="84">
        <v>115.63636363636364</v>
      </c>
      <c r="E1524" s="84">
        <v>0</v>
      </c>
      <c r="F1524" s="84">
        <v>0</v>
      </c>
      <c r="G1524" s="84">
        <v>0</v>
      </c>
      <c r="H1524" s="84">
        <v>8803.2218181818189</v>
      </c>
      <c r="I1524" s="84"/>
      <c r="J1524" s="84">
        <v>25.614788847818271</v>
      </c>
      <c r="K1524" s="84">
        <v>0</v>
      </c>
      <c r="L1524" s="84">
        <v>0</v>
      </c>
      <c r="M1524" s="84">
        <v>0</v>
      </c>
      <c r="N1524" s="84">
        <v>1950.0152111521818</v>
      </c>
    </row>
    <row r="1525" spans="1:14" x14ac:dyDescent="0.25">
      <c r="A1525" s="74" t="s">
        <v>3743</v>
      </c>
      <c r="B1525" s="74">
        <v>7822</v>
      </c>
      <c r="C1525" t="e">
        <f>VLOOKUP(B1525,'Waste Lookups'!$B$1:$C$292,2,FALSE)</f>
        <v>#N/A</v>
      </c>
      <c r="D1525" s="84">
        <v>1049.4545454545455</v>
      </c>
      <c r="E1525" s="84">
        <v>0</v>
      </c>
      <c r="F1525" s="84">
        <v>0</v>
      </c>
      <c r="G1525" s="84">
        <v>0</v>
      </c>
      <c r="H1525" s="84">
        <v>0</v>
      </c>
      <c r="I1525" s="84"/>
      <c r="J1525" s="84">
        <v>-0.2</v>
      </c>
      <c r="K1525" s="84">
        <v>0</v>
      </c>
      <c r="L1525" s="84">
        <v>0</v>
      </c>
      <c r="M1525" s="84">
        <v>0</v>
      </c>
      <c r="N1525" s="84">
        <v>0</v>
      </c>
    </row>
    <row r="1526" spans="1:14" x14ac:dyDescent="0.25">
      <c r="A1526" s="74" t="s">
        <v>3745</v>
      </c>
      <c r="B1526" s="74">
        <v>7824</v>
      </c>
      <c r="C1526" t="e">
        <f>VLOOKUP(B1526,'Waste Lookups'!$B$1:$C$292,2,FALSE)</f>
        <v>#N/A</v>
      </c>
      <c r="D1526" s="84">
        <v>0</v>
      </c>
      <c r="E1526" s="84">
        <v>0</v>
      </c>
      <c r="F1526" s="84">
        <v>0</v>
      </c>
      <c r="G1526" s="84">
        <v>0</v>
      </c>
      <c r="H1526" s="84">
        <v>1151.7163636363637</v>
      </c>
      <c r="I1526" s="84"/>
      <c r="J1526" s="84">
        <v>0</v>
      </c>
      <c r="K1526" s="84">
        <v>0</v>
      </c>
      <c r="L1526" s="84">
        <v>0</v>
      </c>
      <c r="M1526" s="84">
        <v>0</v>
      </c>
      <c r="N1526" s="84">
        <v>5196.47</v>
      </c>
    </row>
    <row r="1527" spans="1:14" x14ac:dyDescent="0.25">
      <c r="A1527" s="74" t="s">
        <v>807</v>
      </c>
      <c r="B1527" s="74">
        <v>7825</v>
      </c>
      <c r="C1527" t="str">
        <f>VLOOKUP(B1527,'Waste Lookups'!$B$1:$C$292,2,FALSE)</f>
        <v>Priory Crescent</v>
      </c>
      <c r="D1527" s="84">
        <v>0</v>
      </c>
      <c r="E1527" s="84">
        <v>0</v>
      </c>
      <c r="F1527" s="84">
        <v>0</v>
      </c>
      <c r="G1527" s="84">
        <v>0</v>
      </c>
      <c r="H1527" s="84">
        <v>1626.1527272727276</v>
      </c>
      <c r="I1527" s="84"/>
      <c r="J1527" s="84">
        <v>0</v>
      </c>
      <c r="K1527" s="84">
        <v>0</v>
      </c>
      <c r="L1527" s="84">
        <v>0</v>
      </c>
      <c r="M1527" s="84">
        <v>0</v>
      </c>
      <c r="N1527" s="84">
        <v>1683.77</v>
      </c>
    </row>
    <row r="1528" spans="1:14" x14ac:dyDescent="0.25">
      <c r="A1528" s="74" t="s">
        <v>3748</v>
      </c>
      <c r="B1528" s="74">
        <v>7827</v>
      </c>
      <c r="C1528" t="e">
        <f>VLOOKUP(B1528,'Waste Lookups'!$B$1:$C$292,2,FALSE)</f>
        <v>#N/A</v>
      </c>
      <c r="D1528" s="84">
        <v>3404.454545454545</v>
      </c>
      <c r="E1528" s="84">
        <v>52.36363636363636</v>
      </c>
      <c r="F1528" s="84">
        <v>0</v>
      </c>
      <c r="G1528" s="84">
        <v>0</v>
      </c>
      <c r="H1528" s="84">
        <v>2070.5236363636363</v>
      </c>
      <c r="I1528" s="84"/>
      <c r="J1528" s="84">
        <v>1030.0009281133985</v>
      </c>
      <c r="K1528" s="84">
        <v>15.842359865238526</v>
      </c>
      <c r="L1528" s="84">
        <v>0</v>
      </c>
      <c r="M1528" s="84">
        <v>0</v>
      </c>
      <c r="N1528" s="84">
        <v>626.42671202136296</v>
      </c>
    </row>
    <row r="1529" spans="1:14" x14ac:dyDescent="0.25">
      <c r="A1529" s="74" t="s">
        <v>3750</v>
      </c>
      <c r="B1529" s="74">
        <v>7828</v>
      </c>
      <c r="C1529" t="e">
        <f>VLOOKUP(B1529,'Waste Lookups'!$B$1:$C$292,2,FALSE)</f>
        <v>#N/A</v>
      </c>
      <c r="D1529" s="84">
        <v>0</v>
      </c>
      <c r="E1529" s="84">
        <v>0</v>
      </c>
      <c r="F1529" s="84">
        <v>0</v>
      </c>
      <c r="G1529" s="84">
        <v>0</v>
      </c>
      <c r="H1529" s="84">
        <v>515.24727272727273</v>
      </c>
      <c r="I1529" s="84"/>
      <c r="J1529" s="84">
        <v>0</v>
      </c>
      <c r="K1529" s="84">
        <v>0</v>
      </c>
      <c r="L1529" s="84">
        <v>0</v>
      </c>
      <c r="M1529" s="84">
        <v>0</v>
      </c>
      <c r="N1529" s="84">
        <v>1314.77</v>
      </c>
    </row>
    <row r="1530" spans="1:14" x14ac:dyDescent="0.25">
      <c r="A1530" s="74" t="s">
        <v>3752</v>
      </c>
      <c r="B1530" s="74">
        <v>7833</v>
      </c>
      <c r="C1530" t="e">
        <f>VLOOKUP(B1530,'Waste Lookups'!$B$1:$C$292,2,FALSE)</f>
        <v>#N/A</v>
      </c>
      <c r="D1530" s="84">
        <v>0</v>
      </c>
      <c r="E1530" s="84">
        <v>99.861818181818194</v>
      </c>
      <c r="F1530" s="84">
        <v>0</v>
      </c>
      <c r="G1530" s="84">
        <v>0</v>
      </c>
      <c r="H1530" s="84">
        <v>3869.9236363636364</v>
      </c>
      <c r="I1530" s="84"/>
      <c r="J1530" s="84">
        <v>0</v>
      </c>
      <c r="K1530" s="84">
        <v>683.6479392245609</v>
      </c>
      <c r="L1530" s="84">
        <v>0</v>
      </c>
      <c r="M1530" s="84">
        <v>0</v>
      </c>
      <c r="N1530" s="84">
        <v>26493.26206077544</v>
      </c>
    </row>
    <row r="1531" spans="1:14" x14ac:dyDescent="0.25">
      <c r="A1531" s="74" t="s">
        <v>3754</v>
      </c>
      <c r="B1531" s="74">
        <v>7835</v>
      </c>
      <c r="C1531" t="e">
        <f>VLOOKUP(B1531,'Waste Lookups'!$B$1:$C$292,2,FALSE)</f>
        <v>#N/A</v>
      </c>
      <c r="D1531" s="84">
        <v>0</v>
      </c>
      <c r="E1531" s="84">
        <v>0</v>
      </c>
      <c r="F1531" s="84">
        <v>0</v>
      </c>
      <c r="G1531" s="84">
        <v>0</v>
      </c>
      <c r="H1531" s="84">
        <v>636.48</v>
      </c>
      <c r="I1531" s="84"/>
      <c r="J1531" s="84">
        <v>0</v>
      </c>
      <c r="K1531" s="84">
        <v>0</v>
      </c>
      <c r="L1531" s="84">
        <v>0</v>
      </c>
      <c r="M1531" s="84">
        <v>0</v>
      </c>
      <c r="N1531" s="84">
        <v>2539.39</v>
      </c>
    </row>
    <row r="1532" spans="1:14" x14ac:dyDescent="0.25">
      <c r="A1532" s="74" t="s">
        <v>3756</v>
      </c>
      <c r="B1532" s="74">
        <v>7836</v>
      </c>
      <c r="C1532" t="e">
        <f>VLOOKUP(B1532,'Waste Lookups'!$B$1:$C$292,2,FALSE)</f>
        <v>#N/A</v>
      </c>
      <c r="D1532" s="84">
        <v>1629.84</v>
      </c>
      <c r="E1532" s="84">
        <v>0</v>
      </c>
      <c r="F1532" s="84">
        <v>0</v>
      </c>
      <c r="G1532" s="84">
        <v>0</v>
      </c>
      <c r="H1532" s="84">
        <v>0</v>
      </c>
      <c r="I1532" s="84"/>
      <c r="J1532" s="84">
        <v>129.97999999999999</v>
      </c>
      <c r="K1532" s="84">
        <v>0</v>
      </c>
      <c r="L1532" s="84">
        <v>0</v>
      </c>
      <c r="M1532" s="84">
        <v>0</v>
      </c>
      <c r="N1532" s="84">
        <v>0</v>
      </c>
    </row>
    <row r="1533" spans="1:14" x14ac:dyDescent="0.25">
      <c r="A1533" s="74" t="s">
        <v>3758</v>
      </c>
      <c r="B1533" s="74">
        <v>7837</v>
      </c>
      <c r="C1533" t="e">
        <f>VLOOKUP(B1533,'Waste Lookups'!$B$1:$C$292,2,FALSE)</f>
        <v>#N/A</v>
      </c>
      <c r="D1533" s="84">
        <v>0</v>
      </c>
      <c r="E1533" s="84">
        <v>0</v>
      </c>
      <c r="F1533" s="84">
        <v>0</v>
      </c>
      <c r="G1533" s="84">
        <v>0</v>
      </c>
      <c r="H1533" s="84">
        <v>274.90909090909093</v>
      </c>
      <c r="I1533" s="84"/>
      <c r="J1533" s="84">
        <v>0</v>
      </c>
      <c r="K1533" s="84">
        <v>0</v>
      </c>
      <c r="L1533" s="84">
        <v>0</v>
      </c>
      <c r="M1533" s="84">
        <v>0</v>
      </c>
      <c r="N1533" s="84">
        <v>3205.17</v>
      </c>
    </row>
    <row r="1534" spans="1:14" x14ac:dyDescent="0.25">
      <c r="A1534" s="74" t="s">
        <v>3760</v>
      </c>
      <c r="B1534" s="74">
        <v>7849</v>
      </c>
      <c r="C1534" t="e">
        <f>VLOOKUP(B1534,'Waste Lookups'!$B$1:$C$292,2,FALSE)</f>
        <v>#N/A</v>
      </c>
      <c r="D1534" s="84">
        <v>1027.9309090909092</v>
      </c>
      <c r="E1534" s="84">
        <v>2065.0581818181818</v>
      </c>
      <c r="F1534" s="84">
        <v>0</v>
      </c>
      <c r="G1534" s="84">
        <v>0</v>
      </c>
      <c r="H1534" s="84">
        <v>0</v>
      </c>
      <c r="I1534" s="84"/>
      <c r="J1534" s="84">
        <v>0</v>
      </c>
      <c r="K1534" s="84">
        <v>0</v>
      </c>
      <c r="L1534" s="84">
        <v>0</v>
      </c>
      <c r="M1534" s="84">
        <v>0</v>
      </c>
      <c r="N1534" s="84">
        <v>0</v>
      </c>
    </row>
    <row r="1535" spans="1:14" x14ac:dyDescent="0.25">
      <c r="A1535" s="74" t="s">
        <v>646</v>
      </c>
      <c r="B1535" s="74">
        <v>8009</v>
      </c>
      <c r="C1535" t="str">
        <f>VLOOKUP(B1535,'Waste Lookups'!$B$1:$C$292,2,FALSE)</f>
        <v>St Martins Hospital</v>
      </c>
      <c r="D1535" s="84">
        <v>0</v>
      </c>
      <c r="E1535" s="84">
        <v>0</v>
      </c>
      <c r="F1535" s="84">
        <v>0</v>
      </c>
      <c r="G1535" s="84">
        <v>13.745454545454546</v>
      </c>
      <c r="H1535" s="84">
        <v>0</v>
      </c>
      <c r="I1535" s="84"/>
      <c r="J1535" s="84">
        <v>0</v>
      </c>
      <c r="K1535" s="84">
        <v>0</v>
      </c>
      <c r="L1535" s="84">
        <v>0</v>
      </c>
      <c r="M1535" s="84">
        <v>533.64</v>
      </c>
      <c r="N1535" s="84">
        <v>0</v>
      </c>
    </row>
    <row r="1536" spans="1:14" x14ac:dyDescent="0.25">
      <c r="A1536" s="74" t="s">
        <v>3763</v>
      </c>
      <c r="B1536" s="74">
        <v>8015</v>
      </c>
      <c r="C1536" t="e">
        <f>VLOOKUP(B1536,'Waste Lookups'!$B$1:$C$292,2,FALSE)</f>
        <v>#N/A</v>
      </c>
      <c r="D1536" s="84">
        <v>368.20363636363635</v>
      </c>
      <c r="E1536" s="84">
        <v>97.614545454545464</v>
      </c>
      <c r="F1536" s="84">
        <v>401.02909090909094</v>
      </c>
      <c r="G1536" s="84">
        <v>70.690909090909088</v>
      </c>
      <c r="H1536" s="84">
        <v>0</v>
      </c>
      <c r="I1536" s="84"/>
      <c r="J1536" s="84">
        <v>0</v>
      </c>
      <c r="K1536" s="84">
        <v>0</v>
      </c>
      <c r="L1536" s="84">
        <v>0</v>
      </c>
      <c r="M1536" s="84">
        <v>0</v>
      </c>
      <c r="N1536" s="84">
        <v>0</v>
      </c>
    </row>
    <row r="1537" spans="1:14" x14ac:dyDescent="0.25">
      <c r="A1537" s="74" t="s">
        <v>3765</v>
      </c>
      <c r="B1537" s="74">
        <v>8027</v>
      </c>
      <c r="C1537" t="e">
        <f>VLOOKUP(B1537,'Waste Lookups'!$B$1:$C$292,2,FALSE)</f>
        <v>#N/A</v>
      </c>
      <c r="D1537" s="84">
        <v>0</v>
      </c>
      <c r="E1537" s="84">
        <v>303.9163636363636</v>
      </c>
      <c r="F1537" s="84">
        <v>0</v>
      </c>
      <c r="G1537" s="84">
        <v>36.785454545454542</v>
      </c>
      <c r="H1537" s="84">
        <v>0</v>
      </c>
      <c r="I1537" s="84"/>
      <c r="J1537" s="84">
        <v>0</v>
      </c>
      <c r="K1537" s="84">
        <v>59.667910409529</v>
      </c>
      <c r="L1537" s="84">
        <v>0</v>
      </c>
      <c r="M1537" s="84">
        <v>7.2220895904710076</v>
      </c>
      <c r="N1537" s="84">
        <v>0</v>
      </c>
    </row>
    <row r="1538" spans="1:14" x14ac:dyDescent="0.25">
      <c r="A1538" s="74" t="s">
        <v>3767</v>
      </c>
      <c r="B1538" s="74">
        <v>8028</v>
      </c>
      <c r="C1538" t="e">
        <f>VLOOKUP(B1538,'Waste Lookups'!$B$1:$C$292,2,FALSE)</f>
        <v>#N/A</v>
      </c>
      <c r="D1538" s="84">
        <v>3097.2654545454543</v>
      </c>
      <c r="E1538" s="84">
        <v>1222.5600000000002</v>
      </c>
      <c r="F1538" s="84">
        <v>365.61818181818177</v>
      </c>
      <c r="G1538" s="84">
        <v>908.26909090909089</v>
      </c>
      <c r="H1538" s="84">
        <v>0</v>
      </c>
      <c r="I1538" s="84"/>
      <c r="J1538" s="84">
        <v>917.5109625807155</v>
      </c>
      <c r="K1538" s="84">
        <v>362.16211328173</v>
      </c>
      <c r="L1538" s="84">
        <v>108.3080203683226</v>
      </c>
      <c r="M1538" s="84">
        <v>269.05890376923179</v>
      </c>
      <c r="N1538" s="84">
        <v>0</v>
      </c>
    </row>
    <row r="1539" spans="1:14" x14ac:dyDescent="0.25">
      <c r="A1539" s="74" t="s">
        <v>3769</v>
      </c>
      <c r="B1539" s="74">
        <v>8029</v>
      </c>
      <c r="C1539" t="e">
        <f>VLOOKUP(B1539,'Waste Lookups'!$B$1:$C$292,2,FALSE)</f>
        <v>#N/A</v>
      </c>
      <c r="D1539" s="84">
        <v>2619.2181818181816</v>
      </c>
      <c r="E1539" s="84">
        <v>869.35636363636354</v>
      </c>
      <c r="F1539" s="84">
        <v>541.83272727272731</v>
      </c>
      <c r="G1539" s="84">
        <v>603.01090909090908</v>
      </c>
      <c r="H1539" s="84">
        <v>0</v>
      </c>
      <c r="I1539" s="84"/>
      <c r="J1539" s="84">
        <v>666.67868810773894</v>
      </c>
      <c r="K1539" s="84">
        <v>221.28029044334048</v>
      </c>
      <c r="L1539" s="84">
        <v>137.91456332258142</v>
      </c>
      <c r="M1539" s="84">
        <v>153.48645812633907</v>
      </c>
      <c r="N1539" s="84">
        <v>0</v>
      </c>
    </row>
    <row r="1540" spans="1:14" x14ac:dyDescent="0.25">
      <c r="A1540" s="74" t="s">
        <v>3771</v>
      </c>
      <c r="B1540" s="74">
        <v>8030</v>
      </c>
      <c r="C1540" t="e">
        <f>VLOOKUP(B1540,'Waste Lookups'!$B$1:$C$292,2,FALSE)</f>
        <v>#N/A</v>
      </c>
      <c r="D1540" s="84">
        <v>1394.6072727272729</v>
      </c>
      <c r="E1540" s="84">
        <v>78</v>
      </c>
      <c r="F1540" s="84">
        <v>0</v>
      </c>
      <c r="G1540" s="84">
        <v>0</v>
      </c>
      <c r="H1540" s="84">
        <v>0</v>
      </c>
      <c r="I1540" s="84"/>
      <c r="J1540" s="84">
        <v>0</v>
      </c>
      <c r="K1540" s="84">
        <v>0</v>
      </c>
      <c r="L1540" s="84">
        <v>0</v>
      </c>
      <c r="M1540" s="84">
        <v>0</v>
      </c>
      <c r="N1540" s="84">
        <v>0</v>
      </c>
    </row>
    <row r="1541" spans="1:14" x14ac:dyDescent="0.25">
      <c r="A1541" s="74" t="s">
        <v>3773</v>
      </c>
      <c r="B1541" s="74">
        <v>8037</v>
      </c>
      <c r="C1541" t="e">
        <f>VLOOKUP(B1541,'Waste Lookups'!$B$1:$C$292,2,FALSE)</f>
        <v>#N/A</v>
      </c>
      <c r="D1541" s="84">
        <v>725.56363636363642</v>
      </c>
      <c r="E1541" s="84">
        <v>889.0472727272728</v>
      </c>
      <c r="F1541" s="84">
        <v>73.603636363636369</v>
      </c>
      <c r="G1541" s="84">
        <v>144.82909090909089</v>
      </c>
      <c r="H1541" s="84">
        <v>0</v>
      </c>
      <c r="I1541" s="84"/>
      <c r="J1541" s="84">
        <v>201.51822661564375</v>
      </c>
      <c r="K1541" s="84">
        <v>246.92421284421147</v>
      </c>
      <c r="L1541" s="84">
        <v>20.442692451898186</v>
      </c>
      <c r="M1541" s="84">
        <v>40.224868088246673</v>
      </c>
      <c r="N1541" s="84">
        <v>0</v>
      </c>
    </row>
    <row r="1542" spans="1:14" x14ac:dyDescent="0.25">
      <c r="A1542" s="74" t="s">
        <v>3775</v>
      </c>
      <c r="B1542" s="74">
        <v>8038</v>
      </c>
      <c r="C1542" t="e">
        <f>VLOOKUP(B1542,'Waste Lookups'!$B$1:$C$292,2,FALSE)</f>
        <v>#N/A</v>
      </c>
      <c r="D1542" s="84">
        <v>2829.949090909091</v>
      </c>
      <c r="E1542" s="84">
        <v>722.74909090909091</v>
      </c>
      <c r="F1542" s="84">
        <v>358.58181818181816</v>
      </c>
      <c r="G1542" s="84">
        <v>496.85454545454547</v>
      </c>
      <c r="H1542" s="84">
        <v>0</v>
      </c>
      <c r="I1542" s="84"/>
      <c r="J1542" s="84">
        <v>770.0783172597437</v>
      </c>
      <c r="K1542" s="84">
        <v>196.67258521229761</v>
      </c>
      <c r="L1542" s="84">
        <v>97.576342992335654</v>
      </c>
      <c r="M1542" s="84">
        <v>135.202754535623</v>
      </c>
      <c r="N1542" s="84">
        <v>0</v>
      </c>
    </row>
    <row r="1543" spans="1:14" x14ac:dyDescent="0.25">
      <c r="A1543" s="74" t="s">
        <v>3777</v>
      </c>
      <c r="B1543" s="74">
        <v>8042</v>
      </c>
      <c r="C1543" t="e">
        <f>VLOOKUP(B1543,'Waste Lookups'!$B$1:$C$292,2,FALSE)</f>
        <v>#N/A</v>
      </c>
      <c r="D1543" s="84">
        <v>3574.08</v>
      </c>
      <c r="E1543" s="84">
        <v>789.5454545454545</v>
      </c>
      <c r="F1543" s="84">
        <v>481.91999999999996</v>
      </c>
      <c r="G1543" s="84">
        <v>831.75272727272727</v>
      </c>
      <c r="H1543" s="84">
        <v>0</v>
      </c>
      <c r="I1543" s="84"/>
      <c r="J1543" s="84">
        <v>631.44639361745055</v>
      </c>
      <c r="K1543" s="84">
        <v>139.49201748975344</v>
      </c>
      <c r="L1543" s="84">
        <v>85.142650979307049</v>
      </c>
      <c r="M1543" s="84">
        <v>146.94893791348895</v>
      </c>
      <c r="N1543" s="84">
        <v>0</v>
      </c>
    </row>
    <row r="1544" spans="1:14" x14ac:dyDescent="0.25">
      <c r="A1544" s="74" t="s">
        <v>647</v>
      </c>
      <c r="B1544" s="74">
        <v>8044</v>
      </c>
      <c r="C1544" t="str">
        <f>VLOOKUP(B1544,'Waste Lookups'!$B$1:$C$292,2,FALSE)</f>
        <v>Sanger House</v>
      </c>
      <c r="D1544" s="84">
        <v>0</v>
      </c>
      <c r="E1544" s="84">
        <v>7009.2109090909089</v>
      </c>
      <c r="F1544" s="84">
        <v>0</v>
      </c>
      <c r="G1544" s="84">
        <v>2087.3781818181819</v>
      </c>
      <c r="H1544" s="84">
        <v>1613.9781818181818</v>
      </c>
      <c r="I1544" s="84"/>
      <c r="J1544" s="84">
        <v>0</v>
      </c>
      <c r="K1544" s="84">
        <v>4658.214893512134</v>
      </c>
      <c r="L1544" s="84">
        <v>0</v>
      </c>
      <c r="M1544" s="84">
        <v>1387.2397707888151</v>
      </c>
      <c r="N1544" s="84">
        <v>1072.6253356990514</v>
      </c>
    </row>
    <row r="1545" spans="1:14" x14ac:dyDescent="0.25">
      <c r="A1545" s="74" t="s">
        <v>3780</v>
      </c>
      <c r="B1545" s="74">
        <v>8049</v>
      </c>
      <c r="C1545" t="e">
        <f>VLOOKUP(B1545,'Waste Lookups'!$B$1:$C$292,2,FALSE)</f>
        <v>#N/A</v>
      </c>
      <c r="D1545" s="84">
        <v>0</v>
      </c>
      <c r="E1545" s="84">
        <v>417.86181818181819</v>
      </c>
      <c r="F1545" s="84">
        <v>0</v>
      </c>
      <c r="G1545" s="84">
        <v>102.68727272727273</v>
      </c>
      <c r="H1545" s="84">
        <v>0</v>
      </c>
      <c r="I1545" s="84"/>
      <c r="J1545" s="84">
        <v>0</v>
      </c>
      <c r="K1545" s="84">
        <v>721.99391579520932</v>
      </c>
      <c r="L1545" s="84">
        <v>0</v>
      </c>
      <c r="M1545" s="84">
        <v>177.42608420479075</v>
      </c>
      <c r="N1545" s="84">
        <v>0</v>
      </c>
    </row>
    <row r="1546" spans="1:14" x14ac:dyDescent="0.25">
      <c r="A1546" s="74" t="s">
        <v>3782</v>
      </c>
      <c r="B1546" s="74">
        <v>8050</v>
      </c>
      <c r="C1546" t="e">
        <f>VLOOKUP(B1546,'Waste Lookups'!$B$1:$C$292,2,FALSE)</f>
        <v>#N/A</v>
      </c>
      <c r="D1546" s="84">
        <v>1976.9672727272728</v>
      </c>
      <c r="E1546" s="84">
        <v>2731.0472727272727</v>
      </c>
      <c r="F1546" s="84">
        <v>473.24727272727273</v>
      </c>
      <c r="G1546" s="84">
        <v>1030.68</v>
      </c>
      <c r="H1546" s="84">
        <v>0</v>
      </c>
      <c r="I1546" s="84"/>
      <c r="J1546" s="84">
        <v>801.83131942932209</v>
      </c>
      <c r="K1546" s="84">
        <v>1107.6760188821063</v>
      </c>
      <c r="L1546" s="84">
        <v>191.94272476941774</v>
      </c>
      <c r="M1546" s="84">
        <v>418.02993691915395</v>
      </c>
      <c r="N1546" s="84">
        <v>0</v>
      </c>
    </row>
    <row r="1547" spans="1:14" x14ac:dyDescent="0.25">
      <c r="A1547" s="74" t="s">
        <v>3784</v>
      </c>
      <c r="B1547" s="74">
        <v>8055</v>
      </c>
      <c r="C1547" t="e">
        <f>VLOOKUP(B1547,'Waste Lookups'!$B$1:$C$292,2,FALSE)</f>
        <v>#N/A</v>
      </c>
      <c r="D1547" s="84">
        <v>679.28727272727269</v>
      </c>
      <c r="E1547" s="84">
        <v>320.29090909090911</v>
      </c>
      <c r="F1547" s="84">
        <v>58.61454545454545</v>
      </c>
      <c r="G1547" s="84">
        <v>186.70909090909092</v>
      </c>
      <c r="H1547" s="84">
        <v>0</v>
      </c>
      <c r="I1547" s="84"/>
      <c r="J1547" s="84">
        <v>340.10149076378423</v>
      </c>
      <c r="K1547" s="84">
        <v>160.3613375863157</v>
      </c>
      <c r="L1547" s="84">
        <v>29.346780206106068</v>
      </c>
      <c r="M1547" s="84">
        <v>93.480391443794048</v>
      </c>
      <c r="N1547" s="84">
        <v>0</v>
      </c>
    </row>
    <row r="1548" spans="1:14" x14ac:dyDescent="0.25">
      <c r="A1548" s="74" t="s">
        <v>3786</v>
      </c>
      <c r="B1548" s="74">
        <v>8056</v>
      </c>
      <c r="C1548" t="e">
        <f>VLOOKUP(B1548,'Waste Lookups'!$B$1:$C$292,2,FALSE)</f>
        <v>#N/A</v>
      </c>
      <c r="D1548" s="84">
        <v>1296.9927272727273</v>
      </c>
      <c r="E1548" s="84">
        <v>1068.1963636363637</v>
      </c>
      <c r="F1548" s="84">
        <v>134.82545454545456</v>
      </c>
      <c r="G1548" s="84">
        <v>387.19636363636363</v>
      </c>
      <c r="H1548" s="84">
        <v>0</v>
      </c>
      <c r="I1548" s="84"/>
      <c r="J1548" s="84">
        <v>454.28714650061778</v>
      </c>
      <c r="K1548" s="84">
        <v>374.14849577383904</v>
      </c>
      <c r="L1548" s="84">
        <v>47.224220871227729</v>
      </c>
      <c r="M1548" s="84">
        <v>135.62013685431552</v>
      </c>
      <c r="N1548" s="84">
        <v>0</v>
      </c>
    </row>
    <row r="1549" spans="1:14" x14ac:dyDescent="0.25">
      <c r="A1549" s="74" t="s">
        <v>3788</v>
      </c>
      <c r="B1549" s="74">
        <v>8076</v>
      </c>
      <c r="C1549" t="e">
        <f>VLOOKUP(B1549,'Waste Lookups'!$B$1:$C$292,2,FALSE)</f>
        <v>#N/A</v>
      </c>
      <c r="D1549" s="84">
        <v>736.25454545454545</v>
      </c>
      <c r="E1549" s="84">
        <v>1299.6327272727272</v>
      </c>
      <c r="F1549" s="84">
        <v>644.12727272727273</v>
      </c>
      <c r="G1549" s="84">
        <v>183.55636363636361</v>
      </c>
      <c r="H1549" s="84">
        <v>0</v>
      </c>
      <c r="I1549" s="84"/>
      <c r="J1549" s="84">
        <v>1213.1842621164672</v>
      </c>
      <c r="K1549" s="84">
        <v>2141.5066039223752</v>
      </c>
      <c r="L1549" s="84">
        <v>1061.3789414234229</v>
      </c>
      <c r="M1549" s="84">
        <v>302.4601925377342</v>
      </c>
      <c r="N1549" s="84">
        <v>0</v>
      </c>
    </row>
    <row r="1550" spans="1:14" x14ac:dyDescent="0.25">
      <c r="A1550" s="74" t="s">
        <v>3790</v>
      </c>
      <c r="B1550" s="74">
        <v>8080</v>
      </c>
      <c r="C1550" t="e">
        <f>VLOOKUP(B1550,'Waste Lookups'!$B$1:$C$292,2,FALSE)</f>
        <v>#N/A</v>
      </c>
      <c r="D1550" s="84">
        <v>1543.8545454545456</v>
      </c>
      <c r="E1550" s="84">
        <v>3092.5199999999995</v>
      </c>
      <c r="F1550" s="84">
        <v>2884.3963636363637</v>
      </c>
      <c r="G1550" s="84">
        <v>1404.610909090909</v>
      </c>
      <c r="H1550" s="84">
        <v>125.67272727272727</v>
      </c>
      <c r="I1550" s="84"/>
      <c r="J1550" s="84">
        <v>1945.4940391476232</v>
      </c>
      <c r="K1550" s="84">
        <v>3897.0505632533018</v>
      </c>
      <c r="L1550" s="84">
        <v>3634.7827899431109</v>
      </c>
      <c r="M1550" s="84">
        <v>1770.0256536495997</v>
      </c>
      <c r="N1550" s="84">
        <v>158.3669540063639</v>
      </c>
    </row>
    <row r="1551" spans="1:14" x14ac:dyDescent="0.25">
      <c r="A1551" s="74" t="s">
        <v>3792</v>
      </c>
      <c r="B1551" s="74">
        <v>8081</v>
      </c>
      <c r="C1551" t="e">
        <f>VLOOKUP(B1551,'Waste Lookups'!$B$1:$C$292,2,FALSE)</f>
        <v>#N/A</v>
      </c>
      <c r="D1551" s="84">
        <v>0</v>
      </c>
      <c r="E1551" s="84">
        <v>0</v>
      </c>
      <c r="F1551" s="84">
        <v>1400.0727272727274</v>
      </c>
      <c r="G1551" s="84">
        <v>0</v>
      </c>
      <c r="H1551" s="84">
        <v>0</v>
      </c>
      <c r="I1551" s="84"/>
      <c r="J1551" s="84">
        <v>0</v>
      </c>
      <c r="K1551" s="84">
        <v>0</v>
      </c>
      <c r="L1551" s="84">
        <v>0</v>
      </c>
      <c r="M1551" s="84">
        <v>0</v>
      </c>
      <c r="N1551" s="84">
        <v>0</v>
      </c>
    </row>
    <row r="1552" spans="1:14" x14ac:dyDescent="0.25">
      <c r="A1552" s="74" t="s">
        <v>648</v>
      </c>
      <c r="B1552" s="74">
        <v>8084</v>
      </c>
      <c r="C1552" t="str">
        <f>VLOOKUP(B1552,'Waste Lookups'!$B$1:$C$292,2,FALSE)</f>
        <v>West Swindon HC</v>
      </c>
      <c r="D1552" s="84">
        <v>4.3963636363636365</v>
      </c>
      <c r="E1552" s="84">
        <v>1051.4945454545455</v>
      </c>
      <c r="F1552" s="84">
        <v>2030.3454545454547</v>
      </c>
      <c r="G1552" s="84">
        <v>251.66181818181821</v>
      </c>
      <c r="H1552" s="84">
        <v>0</v>
      </c>
      <c r="I1552" s="84"/>
      <c r="J1552" s="84">
        <v>9.9200162105276917</v>
      </c>
      <c r="K1552" s="84">
        <v>2372.6069540549197</v>
      </c>
      <c r="L1552" s="84">
        <v>4581.2997941001522</v>
      </c>
      <c r="M1552" s="84">
        <v>567.85323563440033</v>
      </c>
      <c r="N1552" s="84">
        <v>0</v>
      </c>
    </row>
    <row r="1553" spans="1:14" x14ac:dyDescent="0.25">
      <c r="A1553" s="74" t="s">
        <v>3795</v>
      </c>
      <c r="B1553" s="74">
        <v>8085</v>
      </c>
      <c r="C1553" t="e">
        <f>VLOOKUP(B1553,'Waste Lookups'!$B$1:$C$292,2,FALSE)</f>
        <v>#N/A</v>
      </c>
      <c r="D1553" s="84">
        <v>939.50181818181818</v>
      </c>
      <c r="E1553" s="84">
        <v>2046.6872727272728</v>
      </c>
      <c r="F1553" s="84">
        <v>236.86909090909091</v>
      </c>
      <c r="G1553" s="84">
        <v>369.51272727272732</v>
      </c>
      <c r="H1553" s="84">
        <v>282.87272727272727</v>
      </c>
      <c r="I1553" s="84"/>
      <c r="J1553" s="84">
        <v>1043.5543065849588</v>
      </c>
      <c r="K1553" s="84">
        <v>2273.3636873854675</v>
      </c>
      <c r="L1553" s="84">
        <v>263.10301388603489</v>
      </c>
      <c r="M1553" s="84">
        <v>410.43730881719586</v>
      </c>
      <c r="N1553" s="84">
        <v>314.20168332634296</v>
      </c>
    </row>
    <row r="1554" spans="1:14" x14ac:dyDescent="0.25">
      <c r="A1554" s="74" t="s">
        <v>3797</v>
      </c>
      <c r="B1554" s="74">
        <v>8099</v>
      </c>
      <c r="C1554" t="e">
        <f>VLOOKUP(B1554,'Waste Lookups'!$B$1:$C$292,2,FALSE)</f>
        <v>#N/A</v>
      </c>
      <c r="D1554" s="84">
        <v>0</v>
      </c>
      <c r="E1554" s="84">
        <v>1013.7927272727272</v>
      </c>
      <c r="F1554" s="84">
        <v>0</v>
      </c>
      <c r="G1554" s="84">
        <v>36</v>
      </c>
      <c r="H1554" s="84">
        <v>0</v>
      </c>
      <c r="I1554" s="84"/>
      <c r="J1554" s="84">
        <v>0</v>
      </c>
      <c r="K1554" s="84">
        <v>587.47851045920754</v>
      </c>
      <c r="L1554" s="84">
        <v>0</v>
      </c>
      <c r="M1554" s="84">
        <v>20.861489540792469</v>
      </c>
      <c r="N1554" s="84">
        <v>0</v>
      </c>
    </row>
    <row r="1555" spans="1:14" x14ac:dyDescent="0.25">
      <c r="A1555" s="74" t="s">
        <v>3799</v>
      </c>
      <c r="B1555" s="74">
        <v>8100</v>
      </c>
      <c r="C1555" t="e">
        <f>VLOOKUP(B1555,'Waste Lookups'!$B$1:$C$292,2,FALSE)</f>
        <v>#N/A</v>
      </c>
      <c r="D1555" s="84">
        <v>0</v>
      </c>
      <c r="E1555" s="84">
        <v>1494.6981818181819</v>
      </c>
      <c r="F1555" s="84">
        <v>0</v>
      </c>
      <c r="G1555" s="84">
        <v>36</v>
      </c>
      <c r="H1555" s="84">
        <v>0</v>
      </c>
      <c r="I1555" s="84"/>
      <c r="J1555" s="84">
        <v>0</v>
      </c>
      <c r="K1555" s="84">
        <v>635.49404335989277</v>
      </c>
      <c r="L1555" s="84">
        <v>0</v>
      </c>
      <c r="M1555" s="84">
        <v>15.305956640107187</v>
      </c>
      <c r="N1555" s="84">
        <v>0</v>
      </c>
    </row>
    <row r="1556" spans="1:14" x14ac:dyDescent="0.25">
      <c r="A1556" s="74" t="s">
        <v>3801</v>
      </c>
      <c r="B1556" s="74">
        <v>8101</v>
      </c>
      <c r="C1556" t="e">
        <f>VLOOKUP(B1556,'Waste Lookups'!$B$1:$C$292,2,FALSE)</f>
        <v>#N/A</v>
      </c>
      <c r="D1556" s="84">
        <v>0</v>
      </c>
      <c r="E1556" s="84">
        <v>2698.7345454545457</v>
      </c>
      <c r="F1556" s="84">
        <v>0</v>
      </c>
      <c r="G1556" s="84">
        <v>45.81818181818182</v>
      </c>
      <c r="H1556" s="84">
        <v>0</v>
      </c>
      <c r="I1556" s="84"/>
      <c r="J1556" s="84">
        <v>0</v>
      </c>
      <c r="K1556" s="84">
        <v>1307.6885165988299</v>
      </c>
      <c r="L1556" s="84">
        <v>0</v>
      </c>
      <c r="M1556" s="84">
        <v>22.201483401170186</v>
      </c>
      <c r="N1556" s="84">
        <v>0</v>
      </c>
    </row>
    <row r="1557" spans="1:14" x14ac:dyDescent="0.25">
      <c r="A1557" s="74" t="s">
        <v>3803</v>
      </c>
      <c r="B1557" s="74">
        <v>8103</v>
      </c>
      <c r="C1557" t="e">
        <f>VLOOKUP(B1557,'Waste Lookups'!$B$1:$C$292,2,FALSE)</f>
        <v>#N/A</v>
      </c>
      <c r="D1557" s="84">
        <v>0</v>
      </c>
      <c r="E1557" s="84">
        <v>1450.909090909091</v>
      </c>
      <c r="F1557" s="84">
        <v>0</v>
      </c>
      <c r="G1557" s="84">
        <v>41.890909090909091</v>
      </c>
      <c r="H1557" s="84">
        <v>87.970909090909089</v>
      </c>
      <c r="I1557" s="84"/>
      <c r="J1557" s="84">
        <v>0</v>
      </c>
      <c r="K1557" s="84">
        <v>1222.1986280571964</v>
      </c>
      <c r="L1557" s="84">
        <v>0</v>
      </c>
      <c r="M1557" s="84">
        <v>35.287539336388221</v>
      </c>
      <c r="N1557" s="84">
        <v>74.103832606415267</v>
      </c>
    </row>
    <row r="1558" spans="1:14" x14ac:dyDescent="0.25">
      <c r="A1558" s="74" t="s">
        <v>3805</v>
      </c>
      <c r="B1558" s="74">
        <v>8104</v>
      </c>
      <c r="C1558" t="e">
        <f>VLOOKUP(B1558,'Waste Lookups'!$B$1:$C$292,2,FALSE)</f>
        <v>#N/A</v>
      </c>
      <c r="D1558" s="84">
        <v>0</v>
      </c>
      <c r="E1558" s="84">
        <v>1068.4690909090909</v>
      </c>
      <c r="F1558" s="84">
        <v>0</v>
      </c>
      <c r="G1558" s="84">
        <v>0</v>
      </c>
      <c r="H1558" s="84">
        <v>0</v>
      </c>
      <c r="I1558" s="84"/>
      <c r="J1558" s="84">
        <v>0</v>
      </c>
      <c r="K1558" s="84">
        <v>1051.53</v>
      </c>
      <c r="L1558" s="84">
        <v>0</v>
      </c>
      <c r="M1558" s="84">
        <v>0</v>
      </c>
      <c r="N1558" s="84">
        <v>0</v>
      </c>
    </row>
    <row r="1559" spans="1:14" x14ac:dyDescent="0.25">
      <c r="A1559" s="74" t="s">
        <v>3807</v>
      </c>
      <c r="B1559" s="74">
        <v>8105</v>
      </c>
      <c r="C1559" t="e">
        <f>VLOOKUP(B1559,'Waste Lookups'!$B$1:$C$292,2,FALSE)</f>
        <v>#N/A</v>
      </c>
      <c r="D1559" s="84">
        <v>0</v>
      </c>
      <c r="E1559" s="84">
        <v>495.05454545454546</v>
      </c>
      <c r="F1559" s="84">
        <v>0</v>
      </c>
      <c r="G1559" s="84">
        <v>27.490909090909092</v>
      </c>
      <c r="H1559" s="84">
        <v>0</v>
      </c>
      <c r="I1559" s="84"/>
      <c r="J1559" s="84">
        <v>0</v>
      </c>
      <c r="K1559" s="84">
        <v>52.731749478079337</v>
      </c>
      <c r="L1559" s="84">
        <v>0</v>
      </c>
      <c r="M1559" s="84">
        <v>2.9282505219206683</v>
      </c>
      <c r="N1559" s="84">
        <v>0</v>
      </c>
    </row>
    <row r="1560" spans="1:14" x14ac:dyDescent="0.25">
      <c r="A1560" s="74" t="s">
        <v>3809</v>
      </c>
      <c r="B1560" s="74">
        <v>8106</v>
      </c>
      <c r="C1560" t="e">
        <f>VLOOKUP(B1560,'Waste Lookups'!$B$1:$C$292,2,FALSE)</f>
        <v>#N/A</v>
      </c>
      <c r="D1560" s="84">
        <v>0</v>
      </c>
      <c r="E1560" s="84">
        <v>1738.0254545454545</v>
      </c>
      <c r="F1560" s="84">
        <v>0</v>
      </c>
      <c r="G1560" s="84">
        <v>0</v>
      </c>
      <c r="H1560" s="84">
        <v>0</v>
      </c>
      <c r="I1560" s="84"/>
      <c r="J1560" s="84">
        <v>0</v>
      </c>
      <c r="K1560" s="84">
        <v>1255.96</v>
      </c>
      <c r="L1560" s="84">
        <v>0</v>
      </c>
      <c r="M1560" s="84">
        <v>0</v>
      </c>
      <c r="N1560" s="84">
        <v>0</v>
      </c>
    </row>
    <row r="1561" spans="1:14" x14ac:dyDescent="0.25">
      <c r="A1561" s="74" t="s">
        <v>3811</v>
      </c>
      <c r="B1561" s="74">
        <v>8107</v>
      </c>
      <c r="C1561" t="e">
        <f>VLOOKUP(B1561,'Waste Lookups'!$B$1:$C$292,2,FALSE)</f>
        <v>#N/A</v>
      </c>
      <c r="D1561" s="84">
        <v>0</v>
      </c>
      <c r="E1561" s="84">
        <v>2490.7963636363638</v>
      </c>
      <c r="F1561" s="84">
        <v>0</v>
      </c>
      <c r="G1561" s="84">
        <v>3.9272727272727272</v>
      </c>
      <c r="H1561" s="84">
        <v>0</v>
      </c>
      <c r="I1561" s="84"/>
      <c r="J1561" s="84">
        <v>0</v>
      </c>
      <c r="K1561" s="84">
        <v>1440.1792496600096</v>
      </c>
      <c r="L1561" s="84">
        <v>0</v>
      </c>
      <c r="M1561" s="84">
        <v>2.270750339990292</v>
      </c>
      <c r="N1561" s="84">
        <v>0</v>
      </c>
    </row>
    <row r="1562" spans="1:14" x14ac:dyDescent="0.25">
      <c r="A1562" s="74" t="s">
        <v>3813</v>
      </c>
      <c r="B1562" s="74">
        <v>8108</v>
      </c>
      <c r="C1562" t="e">
        <f>VLOOKUP(B1562,'Waste Lookups'!$B$1:$C$292,2,FALSE)</f>
        <v>#N/A</v>
      </c>
      <c r="D1562" s="84">
        <v>0</v>
      </c>
      <c r="E1562" s="84">
        <v>144</v>
      </c>
      <c r="F1562" s="84">
        <v>0</v>
      </c>
      <c r="G1562" s="84">
        <v>0</v>
      </c>
      <c r="H1562" s="84">
        <v>0</v>
      </c>
      <c r="I1562" s="84"/>
      <c r="J1562" s="84">
        <v>0</v>
      </c>
      <c r="K1562" s="84">
        <v>0</v>
      </c>
      <c r="L1562" s="84">
        <v>0</v>
      </c>
      <c r="M1562" s="84">
        <v>0</v>
      </c>
      <c r="N1562" s="84">
        <v>0</v>
      </c>
    </row>
    <row r="1563" spans="1:14" x14ac:dyDescent="0.25">
      <c r="A1563" s="74" t="s">
        <v>3815</v>
      </c>
      <c r="B1563" s="74">
        <v>8109</v>
      </c>
      <c r="C1563" t="e">
        <f>VLOOKUP(B1563,'Waste Lookups'!$B$1:$C$292,2,FALSE)</f>
        <v>#N/A</v>
      </c>
      <c r="D1563" s="84">
        <v>0</v>
      </c>
      <c r="E1563" s="84">
        <v>1097.9781818181818</v>
      </c>
      <c r="F1563" s="84">
        <v>0</v>
      </c>
      <c r="G1563" s="84">
        <v>22.90909090909091</v>
      </c>
      <c r="H1563" s="84">
        <v>0</v>
      </c>
      <c r="I1563" s="84"/>
      <c r="J1563" s="84">
        <v>0</v>
      </c>
      <c r="K1563" s="84">
        <v>697.4185050803909</v>
      </c>
      <c r="L1563" s="84">
        <v>0</v>
      </c>
      <c r="M1563" s="84">
        <v>14.551494919609141</v>
      </c>
      <c r="N1563" s="84">
        <v>0</v>
      </c>
    </row>
    <row r="1564" spans="1:14" x14ac:dyDescent="0.25">
      <c r="A1564" s="74" t="s">
        <v>3817</v>
      </c>
      <c r="B1564" s="74">
        <v>8110</v>
      </c>
      <c r="C1564" t="e">
        <f>VLOOKUP(B1564,'Waste Lookups'!$B$1:$C$292,2,FALSE)</f>
        <v>#N/A</v>
      </c>
      <c r="D1564" s="84">
        <v>0</v>
      </c>
      <c r="E1564" s="84">
        <v>689.22545454545457</v>
      </c>
      <c r="F1564" s="84">
        <v>0</v>
      </c>
      <c r="G1564" s="84">
        <v>15.709090909090909</v>
      </c>
      <c r="H1564" s="84">
        <v>0</v>
      </c>
      <c r="I1564" s="84"/>
      <c r="J1564" s="84">
        <v>0</v>
      </c>
      <c r="K1564" s="84">
        <v>234.48551617945188</v>
      </c>
      <c r="L1564" s="84">
        <v>0</v>
      </c>
      <c r="M1564" s="84">
        <v>5.3444838205481355</v>
      </c>
      <c r="N1564" s="84">
        <v>0</v>
      </c>
    </row>
    <row r="1565" spans="1:14" x14ac:dyDescent="0.25">
      <c r="A1565" s="74" t="s">
        <v>3819</v>
      </c>
      <c r="B1565" s="74">
        <v>8111</v>
      </c>
      <c r="C1565" t="e">
        <f>VLOOKUP(B1565,'Waste Lookups'!$B$1:$C$292,2,FALSE)</f>
        <v>#N/A</v>
      </c>
      <c r="D1565" s="84">
        <v>0</v>
      </c>
      <c r="E1565" s="84">
        <v>2010.4690909090912</v>
      </c>
      <c r="F1565" s="84">
        <v>0</v>
      </c>
      <c r="G1565" s="84">
        <v>2.6181818181818182</v>
      </c>
      <c r="H1565" s="84">
        <v>0</v>
      </c>
      <c r="I1565" s="84"/>
      <c r="J1565" s="84">
        <v>0</v>
      </c>
      <c r="K1565" s="84">
        <v>923.00799060330689</v>
      </c>
      <c r="L1565" s="84">
        <v>0</v>
      </c>
      <c r="M1565" s="84">
        <v>1.2020093966932743</v>
      </c>
      <c r="N1565" s="84">
        <v>0</v>
      </c>
    </row>
    <row r="1566" spans="1:14" x14ac:dyDescent="0.25">
      <c r="A1566" s="74" t="s">
        <v>3821</v>
      </c>
      <c r="B1566" s="74">
        <v>8112</v>
      </c>
      <c r="C1566" t="e">
        <f>VLOOKUP(B1566,'Waste Lookups'!$B$1:$C$292,2,FALSE)</f>
        <v>#N/A</v>
      </c>
      <c r="D1566" s="84">
        <v>0</v>
      </c>
      <c r="E1566" s="84">
        <v>1010.8254545454547</v>
      </c>
      <c r="F1566" s="84">
        <v>0</v>
      </c>
      <c r="G1566" s="84">
        <v>14.399999999999999</v>
      </c>
      <c r="H1566" s="84">
        <v>0</v>
      </c>
      <c r="I1566" s="84"/>
      <c r="J1566" s="84">
        <v>0</v>
      </c>
      <c r="K1566" s="84">
        <v>779.51519573521739</v>
      </c>
      <c r="L1566" s="84">
        <v>0</v>
      </c>
      <c r="M1566" s="84">
        <v>11.104804264782555</v>
      </c>
      <c r="N1566" s="84">
        <v>0</v>
      </c>
    </row>
    <row r="1567" spans="1:14" x14ac:dyDescent="0.25">
      <c r="A1567" s="74" t="s">
        <v>3823</v>
      </c>
      <c r="B1567" s="74">
        <v>8114</v>
      </c>
      <c r="C1567" t="e">
        <f>VLOOKUP(B1567,'Waste Lookups'!$B$1:$C$292,2,FALSE)</f>
        <v>#N/A</v>
      </c>
      <c r="D1567" s="84">
        <v>0</v>
      </c>
      <c r="E1567" s="84">
        <v>524.44363636363641</v>
      </c>
      <c r="F1567" s="84">
        <v>0</v>
      </c>
      <c r="G1567" s="84">
        <v>0</v>
      </c>
      <c r="H1567" s="84">
        <v>0</v>
      </c>
      <c r="I1567" s="84"/>
      <c r="J1567" s="84">
        <v>0</v>
      </c>
      <c r="K1567" s="84">
        <v>556.35</v>
      </c>
      <c r="L1567" s="84">
        <v>0</v>
      </c>
      <c r="M1567" s="84">
        <v>0</v>
      </c>
      <c r="N1567" s="84">
        <v>0</v>
      </c>
    </row>
    <row r="1568" spans="1:14" x14ac:dyDescent="0.25">
      <c r="A1568" s="74" t="s">
        <v>3825</v>
      </c>
      <c r="B1568" s="74">
        <v>8117</v>
      </c>
      <c r="C1568" t="e">
        <f>VLOOKUP(B1568,'Waste Lookups'!$B$1:$C$292,2,FALSE)</f>
        <v>#N/A</v>
      </c>
      <c r="D1568" s="84">
        <v>0</v>
      </c>
      <c r="E1568" s="84">
        <v>1502.5963636363635</v>
      </c>
      <c r="F1568" s="84">
        <v>0</v>
      </c>
      <c r="G1568" s="84">
        <v>22.90909090909091</v>
      </c>
      <c r="H1568" s="84">
        <v>0</v>
      </c>
      <c r="I1568" s="84"/>
      <c r="J1568" s="84">
        <v>0</v>
      </c>
      <c r="K1568" s="84">
        <v>1356.2422729158025</v>
      </c>
      <c r="L1568" s="84">
        <v>0</v>
      </c>
      <c r="M1568" s="84">
        <v>20.677727084197429</v>
      </c>
      <c r="N1568" s="84">
        <v>0</v>
      </c>
    </row>
    <row r="1569" spans="1:14" x14ac:dyDescent="0.25">
      <c r="A1569" s="74" t="s">
        <v>655</v>
      </c>
      <c r="B1569" s="74">
        <v>8118</v>
      </c>
      <c r="C1569" t="str">
        <f>VLOOKUP(B1569,'Waste Lookups'!$B$1:$C$292,2,FALSE)</f>
        <v>South Plaza (Lower Ground, First, Fourth, Fifth &amp; Sixth Floors)</v>
      </c>
      <c r="D1569" s="84">
        <v>0</v>
      </c>
      <c r="E1569" s="84">
        <v>6289.7018181818185</v>
      </c>
      <c r="F1569" s="84">
        <v>0</v>
      </c>
      <c r="G1569" s="84">
        <v>1357.3963636363635</v>
      </c>
      <c r="H1569" s="84">
        <v>4653.818181818182</v>
      </c>
      <c r="I1569" s="84"/>
      <c r="J1569" s="84">
        <v>0</v>
      </c>
      <c r="K1569" s="84">
        <v>4337.5358989840224</v>
      </c>
      <c r="L1569" s="84">
        <v>0</v>
      </c>
      <c r="M1569" s="84">
        <v>936.09452826574341</v>
      </c>
      <c r="N1569" s="84">
        <v>3209.3895727502345</v>
      </c>
    </row>
    <row r="1570" spans="1:14" x14ac:dyDescent="0.25">
      <c r="A1570" s="74" t="s">
        <v>3828</v>
      </c>
      <c r="B1570" s="74">
        <v>8119</v>
      </c>
      <c r="C1570" t="e">
        <f>VLOOKUP(B1570,'Waste Lookups'!$B$1:$C$292,2,FALSE)</f>
        <v>#N/A</v>
      </c>
      <c r="D1570" s="84">
        <v>0</v>
      </c>
      <c r="E1570" s="84">
        <v>1068.1418181818183</v>
      </c>
      <c r="F1570" s="84">
        <v>0</v>
      </c>
      <c r="G1570" s="84">
        <v>22.90909090909091</v>
      </c>
      <c r="H1570" s="84">
        <v>0</v>
      </c>
      <c r="I1570" s="84"/>
      <c r="J1570" s="84">
        <v>0</v>
      </c>
      <c r="K1570" s="84">
        <v>65.69108315918929</v>
      </c>
      <c r="L1570" s="84">
        <v>0</v>
      </c>
      <c r="M1570" s="84">
        <v>1.4089168408106945</v>
      </c>
      <c r="N1570" s="84">
        <v>0</v>
      </c>
    </row>
    <row r="1571" spans="1:14" x14ac:dyDescent="0.25">
      <c r="A1571" s="74" t="s">
        <v>3830</v>
      </c>
      <c r="B1571" s="74">
        <v>8120</v>
      </c>
      <c r="C1571" t="e">
        <f>VLOOKUP(B1571,'Waste Lookups'!$B$1:$C$292,2,FALSE)</f>
        <v>#N/A</v>
      </c>
      <c r="D1571" s="84">
        <v>0</v>
      </c>
      <c r="E1571" s="84">
        <v>1313.3345454545456</v>
      </c>
      <c r="F1571" s="84">
        <v>0</v>
      </c>
      <c r="G1571" s="84">
        <v>62.18181818181818</v>
      </c>
      <c r="H1571" s="84">
        <v>0</v>
      </c>
      <c r="I1571" s="84"/>
      <c r="J1571" s="84">
        <v>0</v>
      </c>
      <c r="K1571" s="84">
        <v>351.89881623297828</v>
      </c>
      <c r="L1571" s="84">
        <v>0</v>
      </c>
      <c r="M1571" s="84">
        <v>16.661183767021704</v>
      </c>
      <c r="N1571" s="84">
        <v>0</v>
      </c>
    </row>
    <row r="1572" spans="1:14" x14ac:dyDescent="0.25">
      <c r="A1572" s="74" t="s">
        <v>3832</v>
      </c>
      <c r="B1572" s="74">
        <v>8123</v>
      </c>
      <c r="C1572" t="e">
        <f>VLOOKUP(B1572,'Waste Lookups'!$B$1:$C$292,2,FALSE)</f>
        <v>#N/A</v>
      </c>
      <c r="D1572" s="84">
        <v>0</v>
      </c>
      <c r="E1572" s="84">
        <v>356.07272727272726</v>
      </c>
      <c r="F1572" s="84">
        <v>0</v>
      </c>
      <c r="G1572" s="84">
        <v>0</v>
      </c>
      <c r="H1572" s="84">
        <v>153</v>
      </c>
      <c r="I1572" s="84"/>
      <c r="J1572" s="84">
        <v>0</v>
      </c>
      <c r="K1572" s="84">
        <v>518.26710382513659</v>
      </c>
      <c r="L1572" s="84">
        <v>0</v>
      </c>
      <c r="M1572" s="84">
        <v>0</v>
      </c>
      <c r="N1572" s="84">
        <v>222.69289617486339</v>
      </c>
    </row>
    <row r="1573" spans="1:14" x14ac:dyDescent="0.25">
      <c r="A1573" s="74" t="s">
        <v>3834</v>
      </c>
      <c r="B1573" s="74">
        <v>8124</v>
      </c>
      <c r="C1573" t="e">
        <f>VLOOKUP(B1573,'Waste Lookups'!$B$1:$C$292,2,FALSE)</f>
        <v>#N/A</v>
      </c>
      <c r="D1573" s="84">
        <v>0</v>
      </c>
      <c r="E1573" s="84">
        <v>1281.1418181818183</v>
      </c>
      <c r="F1573" s="84">
        <v>0</v>
      </c>
      <c r="G1573" s="84">
        <v>21.6</v>
      </c>
      <c r="H1573" s="84">
        <v>0</v>
      </c>
      <c r="I1573" s="84"/>
      <c r="J1573" s="84">
        <v>0</v>
      </c>
      <c r="K1573" s="84">
        <v>1256.7905612219265</v>
      </c>
      <c r="L1573" s="84">
        <v>0</v>
      </c>
      <c r="M1573" s="84">
        <v>21.189438778073661</v>
      </c>
      <c r="N1573" s="84">
        <v>0</v>
      </c>
    </row>
    <row r="1574" spans="1:14" x14ac:dyDescent="0.25">
      <c r="A1574" s="74" t="s">
        <v>3836</v>
      </c>
      <c r="B1574" s="74">
        <v>8142</v>
      </c>
      <c r="C1574" t="e">
        <f>VLOOKUP(B1574,'Waste Lookups'!$B$1:$C$292,2,FALSE)</f>
        <v>#N/A</v>
      </c>
      <c r="D1574" s="84">
        <v>0</v>
      </c>
      <c r="E1574" s="84">
        <v>1976.1163636363635</v>
      </c>
      <c r="F1574" s="84">
        <v>0</v>
      </c>
      <c r="G1574" s="84">
        <v>141.38181818181818</v>
      </c>
      <c r="H1574" s="84">
        <v>0</v>
      </c>
      <c r="I1574" s="84"/>
      <c r="J1574" s="84">
        <v>0</v>
      </c>
      <c r="K1574" s="84">
        <v>5275.7079454313143</v>
      </c>
      <c r="L1574" s="84">
        <v>0</v>
      </c>
      <c r="M1574" s="84">
        <v>377.45205456868479</v>
      </c>
      <c r="N1574" s="84">
        <v>0</v>
      </c>
    </row>
    <row r="1575" spans="1:14" x14ac:dyDescent="0.25">
      <c r="A1575" s="74" t="s">
        <v>3838</v>
      </c>
      <c r="B1575" s="74">
        <v>8143</v>
      </c>
      <c r="C1575" t="e">
        <f>VLOOKUP(B1575,'Waste Lookups'!$B$1:$C$292,2,FALSE)</f>
        <v>#N/A</v>
      </c>
      <c r="D1575" s="84">
        <v>0</v>
      </c>
      <c r="E1575" s="84">
        <v>694.53818181818167</v>
      </c>
      <c r="F1575" s="84">
        <v>0</v>
      </c>
      <c r="G1575" s="84">
        <v>0</v>
      </c>
      <c r="H1575" s="84">
        <v>0</v>
      </c>
      <c r="I1575" s="84"/>
      <c r="J1575" s="84">
        <v>0</v>
      </c>
      <c r="K1575" s="84">
        <v>1257.3</v>
      </c>
      <c r="L1575" s="84">
        <v>0</v>
      </c>
      <c r="M1575" s="84">
        <v>0</v>
      </c>
      <c r="N1575" s="84">
        <v>0</v>
      </c>
    </row>
    <row r="1576" spans="1:14" x14ac:dyDescent="0.25">
      <c r="A1576" s="74" t="s">
        <v>3840</v>
      </c>
      <c r="B1576" s="74">
        <v>8145</v>
      </c>
      <c r="C1576" t="e">
        <f>VLOOKUP(B1576,'Waste Lookups'!$B$1:$C$292,2,FALSE)</f>
        <v>#N/A</v>
      </c>
      <c r="D1576" s="84">
        <v>0</v>
      </c>
      <c r="E1576" s="84">
        <v>1885.701818181818</v>
      </c>
      <c r="F1576" s="84">
        <v>0</v>
      </c>
      <c r="G1576" s="84">
        <v>0</v>
      </c>
      <c r="H1576" s="84">
        <v>0</v>
      </c>
      <c r="I1576" s="84"/>
      <c r="J1576" s="84">
        <v>0</v>
      </c>
      <c r="K1576" s="84">
        <v>3757.84</v>
      </c>
      <c r="L1576" s="84">
        <v>0</v>
      </c>
      <c r="M1576" s="84">
        <v>0</v>
      </c>
      <c r="N1576" s="84">
        <v>0</v>
      </c>
    </row>
    <row r="1577" spans="1:14" x14ac:dyDescent="0.25">
      <c r="A1577" s="74" t="s">
        <v>3842</v>
      </c>
      <c r="B1577" s="74">
        <v>8148</v>
      </c>
      <c r="C1577" t="e">
        <f>VLOOKUP(B1577,'Waste Lookups'!$B$1:$C$292,2,FALSE)</f>
        <v>#N/A</v>
      </c>
      <c r="D1577" s="84">
        <v>0</v>
      </c>
      <c r="E1577" s="84">
        <v>302.4218181818182</v>
      </c>
      <c r="F1577" s="84">
        <v>0</v>
      </c>
      <c r="G1577" s="84">
        <v>0</v>
      </c>
      <c r="H1577" s="84">
        <v>0</v>
      </c>
      <c r="I1577" s="84"/>
      <c r="J1577" s="84">
        <v>0</v>
      </c>
      <c r="K1577" s="84">
        <v>982.05000000000007</v>
      </c>
      <c r="L1577" s="84">
        <v>0</v>
      </c>
      <c r="M1577" s="84">
        <v>0</v>
      </c>
      <c r="N1577" s="84">
        <v>0</v>
      </c>
    </row>
    <row r="1578" spans="1:14" x14ac:dyDescent="0.25">
      <c r="A1578" s="74" t="s">
        <v>3844</v>
      </c>
      <c r="B1578" s="74">
        <v>8149</v>
      </c>
      <c r="C1578" t="e">
        <f>VLOOKUP(B1578,'Waste Lookups'!$B$1:$C$292,2,FALSE)</f>
        <v>#N/A</v>
      </c>
      <c r="D1578" s="84">
        <v>0</v>
      </c>
      <c r="E1578" s="84">
        <v>654.5454545454545</v>
      </c>
      <c r="F1578" s="84">
        <v>0</v>
      </c>
      <c r="G1578" s="84">
        <v>0</v>
      </c>
      <c r="H1578" s="84">
        <v>0</v>
      </c>
      <c r="I1578" s="84"/>
      <c r="J1578" s="84">
        <v>0</v>
      </c>
      <c r="K1578" s="84">
        <v>1079.8900000000001</v>
      </c>
      <c r="L1578" s="84">
        <v>0</v>
      </c>
      <c r="M1578" s="84">
        <v>0</v>
      </c>
      <c r="N1578" s="84">
        <v>0</v>
      </c>
    </row>
    <row r="1579" spans="1:14" x14ac:dyDescent="0.25">
      <c r="A1579" s="74" t="s">
        <v>3846</v>
      </c>
      <c r="B1579" s="74">
        <v>8150</v>
      </c>
      <c r="C1579" t="e">
        <f>VLOOKUP(B1579,'Waste Lookups'!$B$1:$C$292,2,FALSE)</f>
        <v>#N/A</v>
      </c>
      <c r="D1579" s="84">
        <v>0</v>
      </c>
      <c r="E1579" s="84">
        <v>161.03999999999996</v>
      </c>
      <c r="F1579" s="84">
        <v>0</v>
      </c>
      <c r="G1579" s="84">
        <v>0</v>
      </c>
      <c r="H1579" s="84">
        <v>0</v>
      </c>
      <c r="I1579" s="84"/>
      <c r="J1579" s="84">
        <v>0</v>
      </c>
      <c r="K1579" s="84">
        <v>179.89</v>
      </c>
      <c r="L1579" s="84">
        <v>0</v>
      </c>
      <c r="M1579" s="84">
        <v>0</v>
      </c>
      <c r="N1579" s="84">
        <v>0</v>
      </c>
    </row>
    <row r="1580" spans="1:14" x14ac:dyDescent="0.25">
      <c r="A1580" s="74" t="s">
        <v>3848</v>
      </c>
      <c r="B1580" s="74">
        <v>8153</v>
      </c>
      <c r="C1580" t="e">
        <f>VLOOKUP(B1580,'Waste Lookups'!$B$1:$C$292,2,FALSE)</f>
        <v>#N/A</v>
      </c>
      <c r="D1580" s="84">
        <v>0</v>
      </c>
      <c r="E1580" s="84">
        <v>704.3890909090909</v>
      </c>
      <c r="F1580" s="84">
        <v>0</v>
      </c>
      <c r="G1580" s="84">
        <v>0</v>
      </c>
      <c r="H1580" s="84">
        <v>0</v>
      </c>
      <c r="I1580" s="84"/>
      <c r="J1580" s="84">
        <v>0</v>
      </c>
      <c r="K1580" s="84">
        <v>1764.5600000000002</v>
      </c>
      <c r="L1580" s="84">
        <v>0</v>
      </c>
      <c r="M1580" s="84">
        <v>0</v>
      </c>
      <c r="N1580" s="84">
        <v>0</v>
      </c>
    </row>
    <row r="1581" spans="1:14" x14ac:dyDescent="0.25">
      <c r="A1581" s="74" t="s">
        <v>3850</v>
      </c>
      <c r="B1581" s="74">
        <v>8166</v>
      </c>
      <c r="C1581" t="e">
        <f>VLOOKUP(B1581,'Waste Lookups'!$B$1:$C$292,2,FALSE)</f>
        <v>#N/A</v>
      </c>
      <c r="D1581" s="84">
        <v>0</v>
      </c>
      <c r="E1581" s="84">
        <v>5683.4727272727278</v>
      </c>
      <c r="F1581" s="84">
        <v>0</v>
      </c>
      <c r="G1581" s="84">
        <v>0</v>
      </c>
      <c r="H1581" s="84">
        <v>0</v>
      </c>
      <c r="I1581" s="84"/>
      <c r="J1581" s="84">
        <v>0</v>
      </c>
      <c r="K1581" s="84">
        <v>1800</v>
      </c>
      <c r="L1581" s="84">
        <v>0</v>
      </c>
      <c r="M1581" s="84">
        <v>0</v>
      </c>
      <c r="N1581" s="84">
        <v>0</v>
      </c>
    </row>
    <row r="1582" spans="1:14" x14ac:dyDescent="0.25">
      <c r="A1582" s="74" t="s">
        <v>3852</v>
      </c>
      <c r="B1582" s="74">
        <v>8170</v>
      </c>
      <c r="C1582" t="e">
        <f>VLOOKUP(B1582,'Waste Lookups'!$B$1:$C$292,2,FALSE)</f>
        <v>#N/A</v>
      </c>
      <c r="D1582" s="84">
        <v>0</v>
      </c>
      <c r="E1582" s="84">
        <v>977.74909090909091</v>
      </c>
      <c r="F1582" s="84">
        <v>0</v>
      </c>
      <c r="G1582" s="84">
        <v>0</v>
      </c>
      <c r="H1582" s="84">
        <v>0</v>
      </c>
      <c r="I1582" s="84"/>
      <c r="J1582" s="84">
        <v>0</v>
      </c>
      <c r="K1582" s="84">
        <v>0</v>
      </c>
      <c r="L1582" s="84">
        <v>0</v>
      </c>
      <c r="M1582" s="84">
        <v>0</v>
      </c>
      <c r="N1582" s="84">
        <v>0</v>
      </c>
    </row>
    <row r="1583" spans="1:14" x14ac:dyDescent="0.25">
      <c r="A1583" s="74" t="s">
        <v>3854</v>
      </c>
      <c r="B1583" s="74">
        <v>8172</v>
      </c>
      <c r="C1583" t="e">
        <f>VLOOKUP(B1583,'Waste Lookups'!$B$1:$C$292,2,FALSE)</f>
        <v>#N/A</v>
      </c>
      <c r="D1583" s="84">
        <v>0</v>
      </c>
      <c r="E1583" s="84">
        <v>0</v>
      </c>
      <c r="F1583" s="84">
        <v>0</v>
      </c>
      <c r="G1583" s="84">
        <v>0</v>
      </c>
      <c r="H1583" s="84">
        <v>0</v>
      </c>
      <c r="I1583" s="84"/>
      <c r="J1583" s="84">
        <v>0</v>
      </c>
      <c r="K1583" s="84">
        <v>0</v>
      </c>
      <c r="L1583" s="84">
        <v>0</v>
      </c>
      <c r="M1583" s="84">
        <v>0</v>
      </c>
      <c r="N1583" s="84">
        <v>0</v>
      </c>
    </row>
    <row r="1584" spans="1:14" x14ac:dyDescent="0.25">
      <c r="A1584" s="74" t="s">
        <v>656</v>
      </c>
      <c r="B1584" s="74">
        <v>8181</v>
      </c>
      <c r="C1584" t="str">
        <f>VLOOKUP(B1584,'Waste Lookups'!$B$1:$C$292,2,FALSE)</f>
        <v>Wynford House</v>
      </c>
      <c r="D1584" s="84">
        <v>0</v>
      </c>
      <c r="E1584" s="84">
        <v>1201.1672727272726</v>
      </c>
      <c r="F1584" s="84">
        <v>0</v>
      </c>
      <c r="G1584" s="84">
        <v>0</v>
      </c>
      <c r="H1584" s="84">
        <v>0</v>
      </c>
      <c r="I1584" s="84"/>
      <c r="J1584" s="84">
        <v>0</v>
      </c>
      <c r="K1584" s="84">
        <v>265.35000000000002</v>
      </c>
      <c r="L1584" s="84">
        <v>0</v>
      </c>
      <c r="M1584" s="84">
        <v>0</v>
      </c>
      <c r="N1584" s="84">
        <v>0</v>
      </c>
    </row>
    <row r="1585" spans="1:14" x14ac:dyDescent="0.25">
      <c r="A1585" s="74" t="s">
        <v>3857</v>
      </c>
      <c r="B1585" s="74">
        <v>8183</v>
      </c>
      <c r="C1585" t="e">
        <f>VLOOKUP(B1585,'Waste Lookups'!$B$1:$C$292,2,FALSE)</f>
        <v>#N/A</v>
      </c>
      <c r="D1585" s="84">
        <v>0</v>
      </c>
      <c r="E1585" s="84">
        <v>167.32363636363635</v>
      </c>
      <c r="F1585" s="84">
        <v>0</v>
      </c>
      <c r="G1585" s="84">
        <v>1024.0254545454545</v>
      </c>
      <c r="H1585" s="84">
        <v>0</v>
      </c>
      <c r="I1585" s="84"/>
      <c r="J1585" s="84">
        <v>0</v>
      </c>
      <c r="K1585" s="84">
        <v>204.3713675863269</v>
      </c>
      <c r="L1585" s="84">
        <v>0</v>
      </c>
      <c r="M1585" s="84">
        <v>1250.7586324136732</v>
      </c>
      <c r="N1585" s="84">
        <v>0</v>
      </c>
    </row>
    <row r="1586" spans="1:14" x14ac:dyDescent="0.25">
      <c r="A1586" s="74" t="s">
        <v>3859</v>
      </c>
      <c r="B1586" s="74">
        <v>8198</v>
      </c>
      <c r="C1586" t="e">
        <f>VLOOKUP(B1586,'Waste Lookups'!$B$1:$C$292,2,FALSE)</f>
        <v>#N/A</v>
      </c>
      <c r="D1586" s="84">
        <v>0</v>
      </c>
      <c r="E1586" s="84">
        <v>2581.7563636363639</v>
      </c>
      <c r="F1586" s="84">
        <v>0</v>
      </c>
      <c r="G1586" s="84">
        <v>22.90909090909091</v>
      </c>
      <c r="H1586" s="84">
        <v>0</v>
      </c>
      <c r="I1586" s="84"/>
      <c r="J1586" s="84">
        <v>0</v>
      </c>
      <c r="K1586" s="84">
        <v>2001.0240097000767</v>
      </c>
      <c r="L1586" s="84">
        <v>0</v>
      </c>
      <c r="M1586" s="84">
        <v>17.755990299923351</v>
      </c>
      <c r="N1586" s="84">
        <v>0</v>
      </c>
    </row>
    <row r="1587" spans="1:14" x14ac:dyDescent="0.25">
      <c r="A1587" s="74" t="s">
        <v>3861</v>
      </c>
      <c r="B1587" s="74">
        <v>8199</v>
      </c>
      <c r="C1587" t="e">
        <f>VLOOKUP(B1587,'Waste Lookups'!$B$1:$C$292,2,FALSE)</f>
        <v>#N/A</v>
      </c>
      <c r="D1587" s="84">
        <v>0</v>
      </c>
      <c r="E1587" s="84">
        <v>763.63636363636363</v>
      </c>
      <c r="F1587" s="84">
        <v>0</v>
      </c>
      <c r="G1587" s="84">
        <v>0</v>
      </c>
      <c r="H1587" s="84">
        <v>0</v>
      </c>
      <c r="I1587" s="84"/>
      <c r="J1587" s="84">
        <v>0</v>
      </c>
      <c r="K1587" s="84">
        <v>1800</v>
      </c>
      <c r="L1587" s="84">
        <v>0</v>
      </c>
      <c r="M1587" s="84">
        <v>0</v>
      </c>
      <c r="N1587" s="84">
        <v>0</v>
      </c>
    </row>
    <row r="1588" spans="1:14" x14ac:dyDescent="0.25">
      <c r="A1588" s="74" t="s">
        <v>3863</v>
      </c>
      <c r="B1588" s="74">
        <v>8200</v>
      </c>
      <c r="C1588" t="e">
        <f>VLOOKUP(B1588,'Waste Lookups'!$B$1:$C$292,2,FALSE)</f>
        <v>#N/A</v>
      </c>
      <c r="D1588" s="84">
        <v>0</v>
      </c>
      <c r="E1588" s="84">
        <v>1582.090909090909</v>
      </c>
      <c r="F1588" s="84">
        <v>0</v>
      </c>
      <c r="G1588" s="84">
        <v>55.63636363636364</v>
      </c>
      <c r="H1588" s="84">
        <v>0</v>
      </c>
      <c r="I1588" s="84"/>
      <c r="J1588" s="84">
        <v>0</v>
      </c>
      <c r="K1588" s="84">
        <v>1137.5176552872606</v>
      </c>
      <c r="L1588" s="84">
        <v>0</v>
      </c>
      <c r="M1588" s="84">
        <v>40.002344712739379</v>
      </c>
      <c r="N1588" s="84">
        <v>0</v>
      </c>
    </row>
    <row r="1589" spans="1:14" x14ac:dyDescent="0.25">
      <c r="A1589" s="74" t="s">
        <v>3865</v>
      </c>
      <c r="B1589" s="74">
        <v>8201</v>
      </c>
      <c r="C1589" t="e">
        <f>VLOOKUP(B1589,'Waste Lookups'!$B$1:$C$292,2,FALSE)</f>
        <v>#N/A</v>
      </c>
      <c r="D1589" s="84">
        <v>0</v>
      </c>
      <c r="E1589" s="84">
        <v>1494.9818181818182</v>
      </c>
      <c r="F1589" s="84">
        <v>0</v>
      </c>
      <c r="G1589" s="84">
        <v>30.109090909090909</v>
      </c>
      <c r="H1589" s="84">
        <v>0</v>
      </c>
      <c r="I1589" s="84"/>
      <c r="J1589" s="84">
        <v>0</v>
      </c>
      <c r="K1589" s="84">
        <v>727.95883261802578</v>
      </c>
      <c r="L1589" s="84">
        <v>0</v>
      </c>
      <c r="M1589" s="84">
        <v>14.66116738197425</v>
      </c>
      <c r="N1589" s="84">
        <v>0</v>
      </c>
    </row>
    <row r="1590" spans="1:14" x14ac:dyDescent="0.25">
      <c r="A1590" s="74" t="s">
        <v>3867</v>
      </c>
      <c r="B1590" s="74">
        <v>8202</v>
      </c>
      <c r="C1590" t="e">
        <f>VLOOKUP(B1590,'Waste Lookups'!$B$1:$C$292,2,FALSE)</f>
        <v>#N/A</v>
      </c>
      <c r="D1590" s="84">
        <v>0</v>
      </c>
      <c r="E1590" s="84">
        <v>164.90181818181819</v>
      </c>
      <c r="F1590" s="84">
        <v>0</v>
      </c>
      <c r="G1590" s="84">
        <v>0</v>
      </c>
      <c r="H1590" s="84">
        <v>0</v>
      </c>
      <c r="I1590" s="84"/>
      <c r="J1590" s="84">
        <v>0</v>
      </c>
      <c r="K1590" s="84">
        <v>773.1</v>
      </c>
      <c r="L1590" s="84">
        <v>0</v>
      </c>
      <c r="M1590" s="84">
        <v>0</v>
      </c>
      <c r="N1590" s="84">
        <v>0</v>
      </c>
    </row>
    <row r="1591" spans="1:14" x14ac:dyDescent="0.25">
      <c r="A1591" s="74" t="s">
        <v>3869</v>
      </c>
      <c r="B1591" s="74">
        <v>8203</v>
      </c>
      <c r="C1591" t="e">
        <f>VLOOKUP(B1591,'Waste Lookups'!$B$1:$C$292,2,FALSE)</f>
        <v>#N/A</v>
      </c>
      <c r="D1591" s="84">
        <v>0</v>
      </c>
      <c r="E1591" s="84">
        <v>0</v>
      </c>
      <c r="F1591" s="84">
        <v>0</v>
      </c>
      <c r="G1591" s="84">
        <v>0</v>
      </c>
      <c r="H1591" s="84">
        <v>0</v>
      </c>
      <c r="I1591" s="84"/>
      <c r="J1591" s="84">
        <v>0</v>
      </c>
      <c r="K1591" s="84">
        <v>0</v>
      </c>
      <c r="L1591" s="84">
        <v>0</v>
      </c>
      <c r="M1591" s="84">
        <v>0</v>
      </c>
      <c r="N1591" s="84">
        <v>0</v>
      </c>
    </row>
    <row r="1592" spans="1:14" x14ac:dyDescent="0.25">
      <c r="A1592" s="74" t="s">
        <v>3871</v>
      </c>
      <c r="B1592" s="74">
        <v>8204</v>
      </c>
      <c r="C1592" t="e">
        <f>VLOOKUP(B1592,'Waste Lookups'!$B$1:$C$292,2,FALSE)</f>
        <v>#N/A</v>
      </c>
      <c r="D1592" s="84">
        <v>0</v>
      </c>
      <c r="E1592" s="84">
        <v>1908.3272727272729</v>
      </c>
      <c r="F1592" s="84">
        <v>0</v>
      </c>
      <c r="G1592" s="84">
        <v>20.290909090909093</v>
      </c>
      <c r="H1592" s="84">
        <v>0</v>
      </c>
      <c r="I1592" s="84"/>
      <c r="J1592" s="84">
        <v>0</v>
      </c>
      <c r="K1592" s="84">
        <v>1003.6285932462243</v>
      </c>
      <c r="L1592" s="84">
        <v>0</v>
      </c>
      <c r="M1592" s="84">
        <v>10.671406753775665</v>
      </c>
      <c r="N1592" s="84">
        <v>0</v>
      </c>
    </row>
    <row r="1593" spans="1:14" x14ac:dyDescent="0.25">
      <c r="A1593" s="74" t="s">
        <v>3873</v>
      </c>
      <c r="B1593" s="74">
        <v>8207</v>
      </c>
      <c r="C1593" t="e">
        <f>VLOOKUP(B1593,'Waste Lookups'!$B$1:$C$292,2,FALSE)</f>
        <v>#N/A</v>
      </c>
      <c r="D1593" s="84">
        <v>0</v>
      </c>
      <c r="E1593" s="84">
        <v>3224.2799999999997</v>
      </c>
      <c r="F1593" s="84">
        <v>0</v>
      </c>
      <c r="G1593" s="84">
        <v>113.8909090909091</v>
      </c>
      <c r="H1593" s="84">
        <v>243.49090909090907</v>
      </c>
      <c r="I1593" s="84"/>
      <c r="J1593" s="84">
        <v>0</v>
      </c>
      <c r="K1593" s="84">
        <v>1528.7338917942611</v>
      </c>
      <c r="L1593" s="84">
        <v>0</v>
      </c>
      <c r="M1593" s="84">
        <v>53.999309208422304</v>
      </c>
      <c r="N1593" s="84">
        <v>115.44679899731665</v>
      </c>
    </row>
    <row r="1594" spans="1:14" x14ac:dyDescent="0.25">
      <c r="A1594" s="74" t="s">
        <v>777</v>
      </c>
      <c r="B1594" s="74">
        <v>8229</v>
      </c>
      <c r="C1594" t="str">
        <f>VLOOKUP(B1594,'Waste Lookups'!$B$1:$C$292,2,FALSE)</f>
        <v>Crown Yealm House</v>
      </c>
      <c r="D1594" s="84">
        <v>0</v>
      </c>
      <c r="E1594" s="84">
        <v>1354.3418181818181</v>
      </c>
      <c r="F1594" s="84">
        <v>0</v>
      </c>
      <c r="G1594" s="84">
        <v>0</v>
      </c>
      <c r="H1594" s="84">
        <v>0</v>
      </c>
      <c r="I1594" s="84"/>
      <c r="J1594" s="84">
        <v>0</v>
      </c>
      <c r="K1594" s="84">
        <v>1241.48</v>
      </c>
      <c r="L1594" s="84">
        <v>0</v>
      </c>
      <c r="M1594" s="84">
        <v>0</v>
      </c>
      <c r="N1594" s="84">
        <v>0</v>
      </c>
    </row>
    <row r="1595" spans="1:14" x14ac:dyDescent="0.25">
      <c r="A1595" s="74" t="s">
        <v>776</v>
      </c>
      <c r="B1595" s="74">
        <v>8256</v>
      </c>
      <c r="C1595" t="str">
        <f>VLOOKUP(B1595,'Waste Lookups'!$B$1:$C$292,2,FALSE)</f>
        <v>Pomona House (Unit 3)</v>
      </c>
      <c r="D1595" s="84">
        <v>0</v>
      </c>
      <c r="E1595" s="84">
        <v>0</v>
      </c>
      <c r="F1595" s="84">
        <v>0</v>
      </c>
      <c r="G1595" s="84">
        <v>0</v>
      </c>
      <c r="H1595" s="84">
        <v>0</v>
      </c>
      <c r="I1595" s="84"/>
      <c r="J1595" s="84">
        <v>0</v>
      </c>
      <c r="K1595" s="84">
        <v>0</v>
      </c>
      <c r="L1595" s="84">
        <v>0</v>
      </c>
      <c r="M1595" s="84">
        <v>0</v>
      </c>
      <c r="N1595" s="84">
        <v>0</v>
      </c>
    </row>
    <row r="1596" spans="1:14" x14ac:dyDescent="0.25">
      <c r="A1596" s="74" t="s">
        <v>3877</v>
      </c>
      <c r="B1596" s="74">
        <v>8269</v>
      </c>
      <c r="C1596" t="e">
        <f>VLOOKUP(B1596,'Waste Lookups'!$B$1:$C$292,2,FALSE)</f>
        <v>#N/A</v>
      </c>
      <c r="D1596" s="84">
        <v>7226.716363636363</v>
      </c>
      <c r="E1596" s="84">
        <v>0</v>
      </c>
      <c r="F1596" s="84">
        <v>0</v>
      </c>
      <c r="G1596" s="84">
        <v>0</v>
      </c>
      <c r="H1596" s="84">
        <v>0</v>
      </c>
      <c r="I1596" s="84"/>
      <c r="J1596" s="84">
        <v>2493.31</v>
      </c>
      <c r="K1596" s="84">
        <v>0</v>
      </c>
      <c r="L1596" s="84">
        <v>0</v>
      </c>
      <c r="M1596" s="84">
        <v>0</v>
      </c>
      <c r="N1596" s="84">
        <v>0</v>
      </c>
    </row>
    <row r="1597" spans="1:14" x14ac:dyDescent="0.25">
      <c r="A1597" s="74" t="s">
        <v>3879</v>
      </c>
      <c r="B1597" s="74">
        <v>8272</v>
      </c>
      <c r="C1597" t="e">
        <f>VLOOKUP(B1597,'Waste Lookups'!$B$1:$C$292,2,FALSE)</f>
        <v>#N/A</v>
      </c>
      <c r="D1597" s="84">
        <v>0</v>
      </c>
      <c r="E1597" s="84">
        <v>55.243636363636362</v>
      </c>
      <c r="F1597" s="84">
        <v>0</v>
      </c>
      <c r="G1597" s="84">
        <v>0</v>
      </c>
      <c r="H1597" s="84">
        <v>0</v>
      </c>
      <c r="I1597" s="84"/>
      <c r="J1597" s="84">
        <v>0</v>
      </c>
      <c r="K1597" s="84">
        <v>0</v>
      </c>
      <c r="L1597" s="84">
        <v>0</v>
      </c>
      <c r="M1597" s="84">
        <v>0</v>
      </c>
      <c r="N1597" s="84">
        <v>0</v>
      </c>
    </row>
    <row r="1598" spans="1:14" x14ac:dyDescent="0.25">
      <c r="A1598" s="74" t="s">
        <v>3881</v>
      </c>
      <c r="B1598" s="74">
        <v>8276</v>
      </c>
      <c r="C1598" t="e">
        <f>VLOOKUP(B1598,'Waste Lookups'!$B$1:$C$292,2,FALSE)</f>
        <v>#N/A</v>
      </c>
      <c r="D1598" s="84">
        <v>0</v>
      </c>
      <c r="E1598" s="84">
        <v>0</v>
      </c>
      <c r="F1598" s="84">
        <v>0</v>
      </c>
      <c r="G1598" s="84">
        <v>0</v>
      </c>
      <c r="H1598" s="84">
        <v>0</v>
      </c>
      <c r="I1598" s="84"/>
      <c r="J1598" s="84">
        <v>0</v>
      </c>
      <c r="K1598" s="84">
        <v>0</v>
      </c>
      <c r="L1598" s="84">
        <v>0</v>
      </c>
      <c r="M1598" s="84">
        <v>0</v>
      </c>
      <c r="N1598" s="84">
        <v>0</v>
      </c>
    </row>
    <row r="1599" spans="1:14" x14ac:dyDescent="0.25">
      <c r="A1599" s="74" t="s">
        <v>3883</v>
      </c>
      <c r="B1599" s="74">
        <v>8278</v>
      </c>
      <c r="C1599" t="e">
        <f>VLOOKUP(B1599,'Waste Lookups'!$B$1:$C$292,2,FALSE)</f>
        <v>#N/A</v>
      </c>
      <c r="D1599" s="84">
        <v>0</v>
      </c>
      <c r="E1599" s="84">
        <v>158.39999999999998</v>
      </c>
      <c r="F1599" s="84">
        <v>0</v>
      </c>
      <c r="G1599" s="84">
        <v>0</v>
      </c>
      <c r="H1599" s="84">
        <v>0</v>
      </c>
      <c r="I1599" s="84"/>
      <c r="J1599" s="84">
        <v>0</v>
      </c>
      <c r="K1599" s="84">
        <v>132</v>
      </c>
      <c r="L1599" s="84">
        <v>0</v>
      </c>
      <c r="M1599" s="84">
        <v>0</v>
      </c>
      <c r="N1599" s="84">
        <v>0</v>
      </c>
    </row>
    <row r="1600" spans="1:14" x14ac:dyDescent="0.25">
      <c r="A1600" s="74" t="s">
        <v>3885</v>
      </c>
      <c r="B1600" s="74">
        <v>8288</v>
      </c>
      <c r="C1600" t="e">
        <f>VLOOKUP(B1600,'Waste Lookups'!$B$1:$C$292,2,FALSE)</f>
        <v>#N/A</v>
      </c>
      <c r="D1600" s="84">
        <v>151.65818181818182</v>
      </c>
      <c r="E1600" s="84">
        <v>0</v>
      </c>
      <c r="F1600" s="84">
        <v>0</v>
      </c>
      <c r="G1600" s="84">
        <v>0</v>
      </c>
      <c r="H1600" s="84">
        <v>0</v>
      </c>
      <c r="I1600" s="84"/>
      <c r="J1600" s="84">
        <v>2886</v>
      </c>
      <c r="K1600" s="84">
        <v>0</v>
      </c>
      <c r="L1600" s="84">
        <v>0</v>
      </c>
      <c r="M1600" s="84">
        <v>0</v>
      </c>
      <c r="N1600" s="84">
        <v>0</v>
      </c>
    </row>
    <row r="1601" spans="1:14" x14ac:dyDescent="0.25">
      <c r="A1601" s="74" t="s">
        <v>3887</v>
      </c>
      <c r="B1601" s="74">
        <v>8289</v>
      </c>
      <c r="C1601" t="e">
        <f>VLOOKUP(B1601,'Waste Lookups'!$B$1:$C$292,2,FALSE)</f>
        <v>#N/A</v>
      </c>
      <c r="D1601" s="84">
        <v>0</v>
      </c>
      <c r="E1601" s="84">
        <v>105.6</v>
      </c>
      <c r="F1601" s="84">
        <v>0</v>
      </c>
      <c r="G1601" s="84">
        <v>0</v>
      </c>
      <c r="H1601" s="84">
        <v>0</v>
      </c>
      <c r="I1601" s="84"/>
      <c r="J1601" s="84">
        <v>0</v>
      </c>
      <c r="K1601" s="84">
        <v>22</v>
      </c>
      <c r="L1601" s="84">
        <v>0</v>
      </c>
      <c r="M1601" s="84">
        <v>0</v>
      </c>
      <c r="N1601" s="84">
        <v>0</v>
      </c>
    </row>
    <row r="1602" spans="1:14" x14ac:dyDescent="0.25">
      <c r="A1602" s="74" t="s">
        <v>3889</v>
      </c>
      <c r="B1602" s="74">
        <v>8295</v>
      </c>
      <c r="C1602" t="e">
        <f>VLOOKUP(B1602,'Waste Lookups'!$B$1:$C$292,2,FALSE)</f>
        <v>#N/A</v>
      </c>
      <c r="D1602" s="84">
        <v>2846.6181818181817</v>
      </c>
      <c r="E1602" s="84">
        <v>0</v>
      </c>
      <c r="F1602" s="84">
        <v>0</v>
      </c>
      <c r="G1602" s="84">
        <v>0</v>
      </c>
      <c r="H1602" s="84">
        <v>0</v>
      </c>
      <c r="I1602" s="84"/>
      <c r="J1602" s="84">
        <v>574.79999999999995</v>
      </c>
      <c r="K1602" s="84">
        <v>0</v>
      </c>
      <c r="L1602" s="84">
        <v>0</v>
      </c>
      <c r="M1602" s="84">
        <v>0</v>
      </c>
      <c r="N1602" s="84">
        <v>0</v>
      </c>
    </row>
    <row r="1603" spans="1:14" x14ac:dyDescent="0.25">
      <c r="A1603" s="74" t="s">
        <v>3891</v>
      </c>
      <c r="B1603" s="74">
        <v>8303</v>
      </c>
      <c r="C1603" t="e">
        <f>VLOOKUP(B1603,'Waste Lookups'!$B$1:$C$292,2,FALSE)</f>
        <v>#N/A</v>
      </c>
      <c r="D1603" s="84">
        <v>7254.4690909090905</v>
      </c>
      <c r="E1603" s="84">
        <v>0</v>
      </c>
      <c r="F1603" s="84">
        <v>0</v>
      </c>
      <c r="G1603" s="84">
        <v>0</v>
      </c>
      <c r="H1603" s="84">
        <v>0</v>
      </c>
      <c r="I1603" s="84"/>
      <c r="J1603" s="84">
        <v>882</v>
      </c>
      <c r="K1603" s="84">
        <v>0</v>
      </c>
      <c r="L1603" s="84">
        <v>0</v>
      </c>
      <c r="M1603" s="84">
        <v>0</v>
      </c>
      <c r="N1603" s="84">
        <v>0</v>
      </c>
    </row>
    <row r="1604" spans="1:14" x14ac:dyDescent="0.25">
      <c r="A1604" s="74" t="s">
        <v>3893</v>
      </c>
      <c r="B1604" s="74">
        <v>8316</v>
      </c>
      <c r="C1604" t="e">
        <f>VLOOKUP(B1604,'Waste Lookups'!$B$1:$C$292,2,FALSE)</f>
        <v>#N/A</v>
      </c>
      <c r="D1604" s="84">
        <v>0</v>
      </c>
      <c r="E1604" s="84">
        <v>0</v>
      </c>
      <c r="F1604" s="84">
        <v>0</v>
      </c>
      <c r="G1604" s="84">
        <v>0</v>
      </c>
      <c r="H1604" s="84">
        <v>0</v>
      </c>
      <c r="I1604" s="84"/>
      <c r="J1604" s="84">
        <v>0</v>
      </c>
      <c r="K1604" s="84">
        <v>0</v>
      </c>
      <c r="L1604" s="84">
        <v>0</v>
      </c>
      <c r="M1604" s="84">
        <v>0</v>
      </c>
      <c r="N1604" s="84">
        <v>0</v>
      </c>
    </row>
    <row r="1605" spans="1:14" x14ac:dyDescent="0.25">
      <c r="A1605" s="74" t="s">
        <v>3895</v>
      </c>
      <c r="B1605" s="74">
        <v>8324</v>
      </c>
      <c r="C1605" t="e">
        <f>VLOOKUP(B1605,'Waste Lookups'!$B$1:$C$292,2,FALSE)</f>
        <v>#N/A</v>
      </c>
      <c r="D1605" s="84">
        <v>0</v>
      </c>
      <c r="E1605" s="84">
        <v>0</v>
      </c>
      <c r="F1605" s="84">
        <v>0</v>
      </c>
      <c r="G1605" s="84">
        <v>0</v>
      </c>
      <c r="H1605" s="84">
        <v>0</v>
      </c>
      <c r="I1605" s="84"/>
      <c r="J1605" s="84">
        <v>0</v>
      </c>
      <c r="K1605" s="84">
        <v>0</v>
      </c>
      <c r="L1605" s="84">
        <v>0</v>
      </c>
      <c r="M1605" s="84">
        <v>0</v>
      </c>
      <c r="N1605" s="84">
        <v>0</v>
      </c>
    </row>
    <row r="1606" spans="1:14" x14ac:dyDescent="0.25">
      <c r="A1606" s="74" t="s">
        <v>3897</v>
      </c>
      <c r="B1606" s="74">
        <v>8361</v>
      </c>
      <c r="C1606" t="e">
        <f>VLOOKUP(B1606,'Waste Lookups'!$B$1:$C$292,2,FALSE)</f>
        <v>#N/A</v>
      </c>
      <c r="D1606" s="84">
        <v>0</v>
      </c>
      <c r="E1606" s="84">
        <v>55.450909090909093</v>
      </c>
      <c r="F1606" s="84">
        <v>0</v>
      </c>
      <c r="G1606" s="84">
        <v>338.55272727272722</v>
      </c>
      <c r="H1606" s="84">
        <v>0</v>
      </c>
      <c r="I1606" s="84"/>
      <c r="J1606" s="84">
        <v>0</v>
      </c>
      <c r="K1606" s="84">
        <v>56.53407259739182</v>
      </c>
      <c r="L1606" s="84">
        <v>0</v>
      </c>
      <c r="M1606" s="84">
        <v>345.16592740260819</v>
      </c>
      <c r="N1606" s="84">
        <v>0</v>
      </c>
    </row>
    <row r="1607" spans="1:14" x14ac:dyDescent="0.25">
      <c r="A1607" s="74" t="s">
        <v>3899</v>
      </c>
      <c r="B1607" s="74">
        <v>8372</v>
      </c>
      <c r="C1607" t="e">
        <f>VLOOKUP(B1607,'Waste Lookups'!$B$1:$C$292,2,FALSE)</f>
        <v>#N/A</v>
      </c>
      <c r="D1607" s="84">
        <v>0</v>
      </c>
      <c r="E1607" s="84">
        <v>246.34909090909088</v>
      </c>
      <c r="F1607" s="84">
        <v>0</v>
      </c>
      <c r="G1607" s="84">
        <v>0</v>
      </c>
      <c r="H1607" s="84">
        <v>0</v>
      </c>
      <c r="I1607" s="84"/>
      <c r="J1607" s="84">
        <v>0</v>
      </c>
      <c r="K1607" s="84">
        <v>0</v>
      </c>
      <c r="L1607" s="84">
        <v>0</v>
      </c>
      <c r="M1607" s="84">
        <v>0</v>
      </c>
      <c r="N1607" s="84">
        <v>0</v>
      </c>
    </row>
    <row r="1608" spans="1:14" x14ac:dyDescent="0.25">
      <c r="A1608" s="74" t="s">
        <v>3901</v>
      </c>
      <c r="B1608" s="74">
        <v>8441</v>
      </c>
      <c r="C1608" t="e">
        <f>VLOOKUP(B1608,'Waste Lookups'!$B$1:$C$292,2,FALSE)</f>
        <v>#N/A</v>
      </c>
      <c r="D1608" s="84">
        <v>856.62545454545466</v>
      </c>
      <c r="E1608" s="84">
        <v>445.97454545454548</v>
      </c>
      <c r="F1608" s="84">
        <v>0</v>
      </c>
      <c r="G1608" s="84">
        <v>1076.2254545454546</v>
      </c>
      <c r="H1608" s="84">
        <v>0</v>
      </c>
      <c r="I1608" s="84"/>
      <c r="J1608" s="84">
        <v>755.94911010322903</v>
      </c>
      <c r="K1608" s="84">
        <v>393.56063840520221</v>
      </c>
      <c r="L1608" s="84">
        <v>0</v>
      </c>
      <c r="M1608" s="84">
        <v>949.74025149156876</v>
      </c>
      <c r="N1608" s="84">
        <v>0</v>
      </c>
    </row>
    <row r="1609" spans="1:14" x14ac:dyDescent="0.25">
      <c r="A1609" s="74" t="s">
        <v>3903</v>
      </c>
      <c r="B1609" s="74">
        <v>8442</v>
      </c>
      <c r="C1609" t="e">
        <f>VLOOKUP(B1609,'Waste Lookups'!$B$1:$C$292,2,FALSE)</f>
        <v>#N/A</v>
      </c>
      <c r="D1609" s="84">
        <v>0</v>
      </c>
      <c r="E1609" s="84">
        <v>236.11636363636364</v>
      </c>
      <c r="F1609" s="84">
        <v>0</v>
      </c>
      <c r="G1609" s="84">
        <v>296.39999999999998</v>
      </c>
      <c r="H1609" s="84">
        <v>0</v>
      </c>
      <c r="I1609" s="84"/>
      <c r="J1609" s="84">
        <v>0</v>
      </c>
      <c r="K1609" s="84">
        <v>200.51316589503014</v>
      </c>
      <c r="L1609" s="84">
        <v>0</v>
      </c>
      <c r="M1609" s="84">
        <v>251.70683410496989</v>
      </c>
      <c r="N1609" s="84">
        <v>0</v>
      </c>
    </row>
    <row r="1610" spans="1:14" x14ac:dyDescent="0.25">
      <c r="A1610" s="74" t="s">
        <v>771</v>
      </c>
      <c r="B1610" s="74">
        <v>8443</v>
      </c>
      <c r="C1610" t="str">
        <f>VLOOKUP(B1610,'Waste Lookups'!$B$1:$C$292,2,FALSE)</f>
        <v>Bramblefield Clinic</v>
      </c>
      <c r="D1610" s="84">
        <v>0</v>
      </c>
      <c r="E1610" s="84">
        <v>805.4727272727273</v>
      </c>
      <c r="F1610" s="84">
        <v>0</v>
      </c>
      <c r="G1610" s="84">
        <v>615.63272727272727</v>
      </c>
      <c r="H1610" s="84">
        <v>0</v>
      </c>
      <c r="I1610" s="84"/>
      <c r="J1610" s="84">
        <v>0</v>
      </c>
      <c r="K1610" s="84">
        <v>336.40302453403751</v>
      </c>
      <c r="L1610" s="84">
        <v>0</v>
      </c>
      <c r="M1610" s="84">
        <v>257.11697546596247</v>
      </c>
      <c r="N1610" s="84">
        <v>0</v>
      </c>
    </row>
    <row r="1611" spans="1:14" x14ac:dyDescent="0.25">
      <c r="A1611" s="74" t="s">
        <v>3906</v>
      </c>
      <c r="B1611" s="74">
        <v>8444</v>
      </c>
      <c r="C1611" t="e">
        <f>VLOOKUP(B1611,'Waste Lookups'!$B$1:$C$292,2,FALSE)</f>
        <v>#N/A</v>
      </c>
      <c r="D1611" s="84">
        <v>353.97818181818184</v>
      </c>
      <c r="E1611" s="84">
        <v>236.11636363636364</v>
      </c>
      <c r="F1611" s="84">
        <v>49.8</v>
      </c>
      <c r="G1611" s="84">
        <v>650.85818181818183</v>
      </c>
      <c r="H1611" s="84">
        <v>0</v>
      </c>
      <c r="I1611" s="84"/>
      <c r="J1611" s="84">
        <v>611.39711863690536</v>
      </c>
      <c r="K1611" s="84">
        <v>407.82418749313297</v>
      </c>
      <c r="L1611" s="84">
        <v>86.015404541958588</v>
      </c>
      <c r="M1611" s="84">
        <v>1124.1732893280032</v>
      </c>
      <c r="N1611" s="84">
        <v>0</v>
      </c>
    </row>
    <row r="1612" spans="1:14" x14ac:dyDescent="0.25">
      <c r="A1612" s="74" t="s">
        <v>702</v>
      </c>
      <c r="B1612" s="74">
        <v>8445</v>
      </c>
      <c r="C1612" t="str">
        <f>VLOOKUP(B1612,'Waste Lookups'!$B$1:$C$292,2,FALSE)</f>
        <v>Brook House</v>
      </c>
      <c r="D1612" s="84">
        <v>0</v>
      </c>
      <c r="E1612" s="84">
        <v>550.90909090909088</v>
      </c>
      <c r="F1612" s="84">
        <v>0</v>
      </c>
      <c r="G1612" s="84">
        <v>1806.5236363636363</v>
      </c>
      <c r="H1612" s="84">
        <v>428.4218181818182</v>
      </c>
      <c r="I1612" s="84"/>
      <c r="J1612" s="84">
        <v>0</v>
      </c>
      <c r="K1612" s="84">
        <v>117.86431452402394</v>
      </c>
      <c r="L1612" s="84">
        <v>0</v>
      </c>
      <c r="M1612" s="84">
        <v>386.49692587226372</v>
      </c>
      <c r="N1612" s="84">
        <v>91.658759603712255</v>
      </c>
    </row>
    <row r="1613" spans="1:14" x14ac:dyDescent="0.25">
      <c r="A1613" s="74" t="s">
        <v>3909</v>
      </c>
      <c r="B1613" s="74">
        <v>8446</v>
      </c>
      <c r="C1613" t="e">
        <f>VLOOKUP(B1613,'Waste Lookups'!$B$1:$C$292,2,FALSE)</f>
        <v>#N/A</v>
      </c>
      <c r="D1613" s="84">
        <v>0</v>
      </c>
      <c r="E1613" s="84">
        <v>445.97454545454548</v>
      </c>
      <c r="F1613" s="84">
        <v>0</v>
      </c>
      <c r="G1613" s="84">
        <v>536.83636363636367</v>
      </c>
      <c r="H1613" s="84">
        <v>0</v>
      </c>
      <c r="I1613" s="84"/>
      <c r="J1613" s="84">
        <v>0</v>
      </c>
      <c r="K1613" s="84">
        <v>384.16096824322074</v>
      </c>
      <c r="L1613" s="84">
        <v>0</v>
      </c>
      <c r="M1613" s="84">
        <v>462.42903175677924</v>
      </c>
      <c r="N1613" s="84">
        <v>0</v>
      </c>
    </row>
    <row r="1614" spans="1:14" x14ac:dyDescent="0.25">
      <c r="A1614" s="74" t="s">
        <v>3911</v>
      </c>
      <c r="B1614" s="74">
        <v>8448</v>
      </c>
      <c r="C1614" t="e">
        <f>VLOOKUP(B1614,'Waste Lookups'!$B$1:$C$292,2,FALSE)</f>
        <v>#N/A</v>
      </c>
      <c r="D1614" s="84">
        <v>389.26909090909089</v>
      </c>
      <c r="E1614" s="84">
        <v>472.21090909090913</v>
      </c>
      <c r="F1614" s="84">
        <v>49.8</v>
      </c>
      <c r="G1614" s="84">
        <v>1179.5672727272727</v>
      </c>
      <c r="H1614" s="84">
        <v>0</v>
      </c>
      <c r="I1614" s="84"/>
      <c r="J1614" s="84">
        <v>693.78553284184034</v>
      </c>
      <c r="K1614" s="84">
        <v>841.6108672082479</v>
      </c>
      <c r="L1614" s="84">
        <v>88.757418306280343</v>
      </c>
      <c r="M1614" s="84">
        <v>2102.3161816436309</v>
      </c>
      <c r="N1614" s="84">
        <v>0</v>
      </c>
    </row>
    <row r="1615" spans="1:14" x14ac:dyDescent="0.25">
      <c r="A1615" s="74" t="s">
        <v>3913</v>
      </c>
      <c r="B1615" s="74">
        <v>8450</v>
      </c>
      <c r="C1615" t="e">
        <f>VLOOKUP(B1615,'Waste Lookups'!$B$1:$C$292,2,FALSE)</f>
        <v>#N/A</v>
      </c>
      <c r="D1615" s="84">
        <v>345.54545454545456</v>
      </c>
      <c r="E1615" s="84">
        <v>236.11636363636364</v>
      </c>
      <c r="F1615" s="84">
        <v>0</v>
      </c>
      <c r="G1615" s="84">
        <v>289.66909090909087</v>
      </c>
      <c r="H1615" s="84">
        <v>0</v>
      </c>
      <c r="I1615" s="84"/>
      <c r="J1615" s="84">
        <v>394.77157827524042</v>
      </c>
      <c r="K1615" s="84">
        <v>269.75330829326924</v>
      </c>
      <c r="L1615" s="84">
        <v>0</v>
      </c>
      <c r="M1615" s="84">
        <v>330.93511343149032</v>
      </c>
      <c r="N1615" s="84">
        <v>0</v>
      </c>
    </row>
    <row r="1616" spans="1:14" x14ac:dyDescent="0.25">
      <c r="A1616" s="74" t="s">
        <v>3915</v>
      </c>
      <c r="B1616" s="74">
        <v>8452</v>
      </c>
      <c r="C1616" t="e">
        <f>VLOOKUP(B1616,'Waste Lookups'!$B$1:$C$292,2,FALSE)</f>
        <v>#N/A</v>
      </c>
      <c r="D1616" s="84">
        <v>655.82181818181812</v>
      </c>
      <c r="E1616" s="84">
        <v>668.97818181818184</v>
      </c>
      <c r="F1616" s="84">
        <v>263.18181818181819</v>
      </c>
      <c r="G1616" s="84">
        <v>1128</v>
      </c>
      <c r="H1616" s="84">
        <v>0</v>
      </c>
      <c r="I1616" s="84"/>
      <c r="J1616" s="84">
        <v>1057.5318345952242</v>
      </c>
      <c r="K1616" s="84">
        <v>1078.7468551804473</v>
      </c>
      <c r="L1616" s="84">
        <v>424.38836784286951</v>
      </c>
      <c r="M1616" s="84">
        <v>1818.9329423814593</v>
      </c>
      <c r="N1616" s="84">
        <v>0</v>
      </c>
    </row>
    <row r="1617" spans="1:14" x14ac:dyDescent="0.25">
      <c r="A1617" s="74" t="s">
        <v>3917</v>
      </c>
      <c r="B1617" s="74">
        <v>8453</v>
      </c>
      <c r="C1617" t="e">
        <f>VLOOKUP(B1617,'Waste Lookups'!$B$1:$C$292,2,FALSE)</f>
        <v>#N/A</v>
      </c>
      <c r="D1617" s="84">
        <v>73.418181818181822</v>
      </c>
      <c r="E1617" s="84">
        <v>236.11636363636364</v>
      </c>
      <c r="F1617" s="84">
        <v>383.56363636363636</v>
      </c>
      <c r="G1617" s="84">
        <v>150.15272727272725</v>
      </c>
      <c r="H1617" s="84">
        <v>0</v>
      </c>
      <c r="I1617" s="84"/>
      <c r="J1617" s="84">
        <v>97.86874692747547</v>
      </c>
      <c r="K1617" s="84">
        <v>314.75054361044266</v>
      </c>
      <c r="L1617" s="84">
        <v>511.30239850966382</v>
      </c>
      <c r="M1617" s="84">
        <v>200.15831095241788</v>
      </c>
      <c r="N1617" s="84">
        <v>0</v>
      </c>
    </row>
    <row r="1618" spans="1:14" x14ac:dyDescent="0.25">
      <c r="A1618" s="74" t="s">
        <v>3919</v>
      </c>
      <c r="B1618" s="74">
        <v>8454</v>
      </c>
      <c r="C1618" t="e">
        <f>VLOOKUP(B1618,'Waste Lookups'!$B$1:$C$292,2,FALSE)</f>
        <v>#N/A</v>
      </c>
      <c r="D1618" s="84">
        <v>0</v>
      </c>
      <c r="E1618" s="84">
        <v>236.11636363636364</v>
      </c>
      <c r="F1618" s="84">
        <v>0</v>
      </c>
      <c r="G1618" s="84">
        <v>280.22181818181821</v>
      </c>
      <c r="H1618" s="84">
        <v>0</v>
      </c>
      <c r="I1618" s="84"/>
      <c r="J1618" s="84">
        <v>0</v>
      </c>
      <c r="K1618" s="84">
        <v>220.166914707063</v>
      </c>
      <c r="L1618" s="84">
        <v>0</v>
      </c>
      <c r="M1618" s="84">
        <v>261.29308529293695</v>
      </c>
      <c r="N1618" s="84">
        <v>0</v>
      </c>
    </row>
    <row r="1619" spans="1:14" x14ac:dyDescent="0.25">
      <c r="A1619" s="74" t="s">
        <v>3921</v>
      </c>
      <c r="B1619" s="74">
        <v>8455</v>
      </c>
      <c r="C1619" t="e">
        <f>VLOOKUP(B1619,'Waste Lookups'!$B$1:$C$292,2,FALSE)</f>
        <v>#N/A</v>
      </c>
      <c r="D1619" s="84">
        <v>1011.5127272727273</v>
      </c>
      <c r="E1619" s="84">
        <v>498.44727272727278</v>
      </c>
      <c r="F1619" s="84">
        <v>97.396363636363645</v>
      </c>
      <c r="G1619" s="84">
        <v>1461.7854545454545</v>
      </c>
      <c r="H1619" s="84">
        <v>0</v>
      </c>
      <c r="I1619" s="84"/>
      <c r="J1619" s="84">
        <v>1741.8472579601762</v>
      </c>
      <c r="K1619" s="84">
        <v>858.33721299646709</v>
      </c>
      <c r="L1619" s="84">
        <v>167.71868940562601</v>
      </c>
      <c r="M1619" s="84">
        <v>2517.2268396377312</v>
      </c>
      <c r="N1619" s="84">
        <v>0</v>
      </c>
    </row>
    <row r="1620" spans="1:14" x14ac:dyDescent="0.25">
      <c r="A1620" s="74" t="s">
        <v>3923</v>
      </c>
      <c r="B1620" s="74">
        <v>8456</v>
      </c>
      <c r="C1620" t="e">
        <f>VLOOKUP(B1620,'Waste Lookups'!$B$1:$C$292,2,FALSE)</f>
        <v>#N/A</v>
      </c>
      <c r="D1620" s="84">
        <v>0</v>
      </c>
      <c r="E1620" s="84">
        <v>0</v>
      </c>
      <c r="F1620" s="84">
        <v>0</v>
      </c>
      <c r="G1620" s="84">
        <v>419.73818181818183</v>
      </c>
      <c r="H1620" s="84">
        <v>0</v>
      </c>
      <c r="I1620" s="84"/>
      <c r="J1620" s="84">
        <v>0</v>
      </c>
      <c r="K1620" s="84">
        <v>0</v>
      </c>
      <c r="L1620" s="84">
        <v>0</v>
      </c>
      <c r="M1620" s="84">
        <v>0</v>
      </c>
      <c r="N1620" s="84">
        <v>0</v>
      </c>
    </row>
    <row r="1621" spans="1:14" x14ac:dyDescent="0.25">
      <c r="A1621" s="74" t="s">
        <v>3925</v>
      </c>
      <c r="B1621" s="74">
        <v>8458</v>
      </c>
      <c r="C1621" t="e">
        <f>VLOOKUP(B1621,'Waste Lookups'!$B$1:$C$292,2,FALSE)</f>
        <v>#N/A</v>
      </c>
      <c r="D1621" s="84">
        <v>434.54181818181814</v>
      </c>
      <c r="E1621" s="84">
        <v>472.21090909090913</v>
      </c>
      <c r="F1621" s="84">
        <v>0</v>
      </c>
      <c r="G1621" s="84">
        <v>598.90909090909088</v>
      </c>
      <c r="H1621" s="84">
        <v>0</v>
      </c>
      <c r="I1621" s="84"/>
      <c r="J1621" s="84">
        <v>833.15412653330338</v>
      </c>
      <c r="K1621" s="84">
        <v>905.37768988327707</v>
      </c>
      <c r="L1621" s="84">
        <v>0</v>
      </c>
      <c r="M1621" s="84">
        <v>1148.2981835834198</v>
      </c>
      <c r="N1621" s="84">
        <v>0</v>
      </c>
    </row>
    <row r="1622" spans="1:14" x14ac:dyDescent="0.25">
      <c r="A1622" s="74" t="s">
        <v>3927</v>
      </c>
      <c r="B1622" s="74">
        <v>8459</v>
      </c>
      <c r="C1622" t="e">
        <f>VLOOKUP(B1622,'Waste Lookups'!$B$1:$C$292,2,FALSE)</f>
        <v>#N/A</v>
      </c>
      <c r="D1622" s="84">
        <v>181.84363636363636</v>
      </c>
      <c r="E1622" s="84">
        <v>472.21090909090913</v>
      </c>
      <c r="F1622" s="84">
        <v>0</v>
      </c>
      <c r="G1622" s="84">
        <v>629.52</v>
      </c>
      <c r="H1622" s="84">
        <v>0</v>
      </c>
      <c r="I1622" s="84"/>
      <c r="J1622" s="84">
        <v>207.7515493664001</v>
      </c>
      <c r="K1622" s="84">
        <v>539.48848556446069</v>
      </c>
      <c r="L1622" s="84">
        <v>0</v>
      </c>
      <c r="M1622" s="84">
        <v>719.20996506913934</v>
      </c>
      <c r="N1622" s="84">
        <v>0</v>
      </c>
    </row>
    <row r="1623" spans="1:14" x14ac:dyDescent="0.25">
      <c r="A1623" s="74" t="s">
        <v>3929</v>
      </c>
      <c r="B1623" s="74">
        <v>8460</v>
      </c>
      <c r="C1623" t="e">
        <f>VLOOKUP(B1623,'Waste Lookups'!$B$1:$C$292,2,FALSE)</f>
        <v>#N/A</v>
      </c>
      <c r="D1623" s="84">
        <v>461.0836363636364</v>
      </c>
      <c r="E1623" s="84">
        <v>236.11636363636364</v>
      </c>
      <c r="F1623" s="84">
        <v>0</v>
      </c>
      <c r="G1623" s="84">
        <v>345.07636363636362</v>
      </c>
      <c r="H1623" s="84">
        <v>0</v>
      </c>
      <c r="I1623" s="84"/>
      <c r="J1623" s="84">
        <v>551.91940989303134</v>
      </c>
      <c r="K1623" s="84">
        <v>282.63246362856125</v>
      </c>
      <c r="L1623" s="84">
        <v>0</v>
      </c>
      <c r="M1623" s="84">
        <v>413.05812647840736</v>
      </c>
      <c r="N1623" s="84">
        <v>0</v>
      </c>
    </row>
    <row r="1624" spans="1:14" x14ac:dyDescent="0.25">
      <c r="A1624" s="74" t="s">
        <v>772</v>
      </c>
      <c r="B1624" s="74">
        <v>8461</v>
      </c>
      <c r="C1624" t="str">
        <f>VLOOKUP(B1624,'Waste Lookups'!$B$1:$C$292,2,FALSE)</f>
        <v>Inca House</v>
      </c>
      <c r="D1624" s="84">
        <v>0</v>
      </c>
      <c r="E1624" s="84">
        <v>0</v>
      </c>
      <c r="F1624" s="84">
        <v>0</v>
      </c>
      <c r="G1624" s="84">
        <v>17.236363636363638</v>
      </c>
      <c r="H1624" s="84">
        <v>79.767272727272726</v>
      </c>
      <c r="I1624" s="84"/>
      <c r="J1624" s="84">
        <v>0</v>
      </c>
      <c r="K1624" s="84">
        <v>0</v>
      </c>
      <c r="L1624" s="84">
        <v>0</v>
      </c>
      <c r="M1624" s="84">
        <v>0</v>
      </c>
      <c r="N1624" s="84">
        <v>0</v>
      </c>
    </row>
    <row r="1625" spans="1:14" x14ac:dyDescent="0.25">
      <c r="A1625" s="74" t="s">
        <v>3932</v>
      </c>
      <c r="B1625" s="74">
        <v>8462</v>
      </c>
      <c r="C1625" t="e">
        <f>VLOOKUP(B1625,'Waste Lookups'!$B$1:$C$292,2,FALSE)</f>
        <v>#N/A</v>
      </c>
      <c r="D1625" s="84">
        <v>340.44</v>
      </c>
      <c r="E1625" s="84">
        <v>236.11636363636364</v>
      </c>
      <c r="F1625" s="84">
        <v>0</v>
      </c>
      <c r="G1625" s="84">
        <v>485.33454545454549</v>
      </c>
      <c r="H1625" s="84">
        <v>0</v>
      </c>
      <c r="I1625" s="84"/>
      <c r="J1625" s="84">
        <v>384.89701993014177</v>
      </c>
      <c r="K1625" s="84">
        <v>266.95007848777476</v>
      </c>
      <c r="L1625" s="84">
        <v>0</v>
      </c>
      <c r="M1625" s="84">
        <v>548.71290158208342</v>
      </c>
      <c r="N1625" s="84">
        <v>0</v>
      </c>
    </row>
    <row r="1626" spans="1:14" x14ac:dyDescent="0.25">
      <c r="A1626" s="74" t="s">
        <v>703</v>
      </c>
      <c r="B1626" s="74">
        <v>8463</v>
      </c>
      <c r="C1626" t="str">
        <f>VLOOKUP(B1626,'Waste Lookups'!$B$1:$C$292,2,FALSE)</f>
        <v>Kent House</v>
      </c>
      <c r="D1626" s="84">
        <v>0</v>
      </c>
      <c r="E1626" s="84">
        <v>0</v>
      </c>
      <c r="F1626" s="84">
        <v>0</v>
      </c>
      <c r="G1626" s="84">
        <v>116.23636363636362</v>
      </c>
      <c r="H1626" s="84">
        <v>387.05454545454552</v>
      </c>
      <c r="I1626" s="84"/>
      <c r="J1626" s="84">
        <v>0</v>
      </c>
      <c r="K1626" s="84">
        <v>0</v>
      </c>
      <c r="L1626" s="84">
        <v>0</v>
      </c>
      <c r="M1626" s="84">
        <v>120.56882518695129</v>
      </c>
      <c r="N1626" s="84">
        <v>401.4811748130486</v>
      </c>
    </row>
    <row r="1627" spans="1:14" x14ac:dyDescent="0.25">
      <c r="A1627" s="74" t="s">
        <v>3935</v>
      </c>
      <c r="B1627" s="74">
        <v>8464</v>
      </c>
      <c r="C1627" t="e">
        <f>VLOOKUP(B1627,'Waste Lookups'!$B$1:$C$292,2,FALSE)</f>
        <v>#N/A</v>
      </c>
      <c r="D1627" s="84">
        <v>0</v>
      </c>
      <c r="E1627" s="84">
        <v>131.18181818181819</v>
      </c>
      <c r="F1627" s="84">
        <v>0</v>
      </c>
      <c r="G1627" s="84">
        <v>623.23636363636354</v>
      </c>
      <c r="H1627" s="84">
        <v>0</v>
      </c>
      <c r="I1627" s="84"/>
      <c r="J1627" s="84">
        <v>0</v>
      </c>
      <c r="K1627" s="84">
        <v>59.037350878461439</v>
      </c>
      <c r="L1627" s="84">
        <v>0</v>
      </c>
      <c r="M1627" s="84">
        <v>280.48264912153854</v>
      </c>
      <c r="N1627" s="84">
        <v>0</v>
      </c>
    </row>
    <row r="1628" spans="1:14" x14ac:dyDescent="0.25">
      <c r="A1628" s="74" t="s">
        <v>3937</v>
      </c>
      <c r="B1628" s="74">
        <v>8465</v>
      </c>
      <c r="C1628" t="e">
        <f>VLOOKUP(B1628,'Waste Lookups'!$B$1:$C$292,2,FALSE)</f>
        <v>#N/A</v>
      </c>
      <c r="D1628" s="84">
        <v>351.41454545454548</v>
      </c>
      <c r="E1628" s="84">
        <v>0</v>
      </c>
      <c r="F1628" s="84">
        <v>0</v>
      </c>
      <c r="G1628" s="84">
        <v>60.316363636363633</v>
      </c>
      <c r="H1628" s="84">
        <v>0</v>
      </c>
      <c r="I1628" s="84"/>
      <c r="J1628" s="84">
        <v>868.99650124529705</v>
      </c>
      <c r="K1628" s="84">
        <v>0</v>
      </c>
      <c r="L1628" s="84">
        <v>0</v>
      </c>
      <c r="M1628" s="84">
        <v>149.15349875470295</v>
      </c>
      <c r="N1628" s="84">
        <v>0</v>
      </c>
    </row>
    <row r="1629" spans="1:14" x14ac:dyDescent="0.25">
      <c r="A1629" s="74" t="s">
        <v>3939</v>
      </c>
      <c r="B1629" s="74">
        <v>8466</v>
      </c>
      <c r="C1629" t="e">
        <f>VLOOKUP(B1629,'Waste Lookups'!$B$1:$C$292,2,FALSE)</f>
        <v>#N/A</v>
      </c>
      <c r="D1629" s="84">
        <v>424.77818181818179</v>
      </c>
      <c r="E1629" s="84">
        <v>175.30909090909088</v>
      </c>
      <c r="F1629" s="84">
        <v>0</v>
      </c>
      <c r="G1629" s="84">
        <v>320.07272727272726</v>
      </c>
      <c r="H1629" s="84">
        <v>0</v>
      </c>
      <c r="I1629" s="84"/>
      <c r="J1629" s="84">
        <v>459.13768459240293</v>
      </c>
      <c r="K1629" s="84">
        <v>189.48951131028599</v>
      </c>
      <c r="L1629" s="84">
        <v>0</v>
      </c>
      <c r="M1629" s="84">
        <v>345.96280409731122</v>
      </c>
      <c r="N1629" s="84">
        <v>0</v>
      </c>
    </row>
    <row r="1630" spans="1:14" x14ac:dyDescent="0.25">
      <c r="A1630" s="74" t="s">
        <v>3941</v>
      </c>
      <c r="B1630" s="74">
        <v>8467</v>
      </c>
      <c r="C1630" t="e">
        <f>VLOOKUP(B1630,'Waste Lookups'!$B$1:$C$292,2,FALSE)</f>
        <v>#N/A</v>
      </c>
      <c r="D1630" s="84">
        <v>395.41090909090906</v>
      </c>
      <c r="E1630" s="84">
        <v>404.00727272727272</v>
      </c>
      <c r="F1630" s="84">
        <v>0</v>
      </c>
      <c r="G1630" s="84">
        <v>446.81454545454545</v>
      </c>
      <c r="H1630" s="84">
        <v>0</v>
      </c>
      <c r="I1630" s="84"/>
      <c r="J1630" s="84">
        <v>693.02016947075401</v>
      </c>
      <c r="K1630" s="84">
        <v>708.08665662914257</v>
      </c>
      <c r="L1630" s="84">
        <v>0</v>
      </c>
      <c r="M1630" s="84">
        <v>783.11317390010322</v>
      </c>
      <c r="N1630" s="84">
        <v>0</v>
      </c>
    </row>
    <row r="1631" spans="1:14" x14ac:dyDescent="0.25">
      <c r="A1631" s="74" t="s">
        <v>3943</v>
      </c>
      <c r="B1631" s="74">
        <v>8468</v>
      </c>
      <c r="C1631" t="e">
        <f>VLOOKUP(B1631,'Waste Lookups'!$B$1:$C$292,2,FALSE)</f>
        <v>#N/A</v>
      </c>
      <c r="D1631" s="84">
        <v>0</v>
      </c>
      <c r="E1631" s="84">
        <v>0</v>
      </c>
      <c r="F1631" s="84">
        <v>0</v>
      </c>
      <c r="G1631" s="84">
        <v>34.74545454545455</v>
      </c>
      <c r="H1631" s="84">
        <v>0</v>
      </c>
      <c r="I1631" s="84"/>
      <c r="J1631" s="84">
        <v>0</v>
      </c>
      <c r="K1631" s="84">
        <v>0</v>
      </c>
      <c r="L1631" s="84">
        <v>0</v>
      </c>
      <c r="M1631" s="84">
        <v>411.9</v>
      </c>
      <c r="N1631" s="84">
        <v>0</v>
      </c>
    </row>
    <row r="1632" spans="1:14" x14ac:dyDescent="0.25">
      <c r="A1632" s="74" t="s">
        <v>3945</v>
      </c>
      <c r="B1632" s="74">
        <v>8470</v>
      </c>
      <c r="C1632" t="e">
        <f>VLOOKUP(B1632,'Waste Lookups'!$B$1:$C$292,2,FALSE)</f>
        <v>#N/A</v>
      </c>
      <c r="D1632" s="84">
        <v>1950.8618181818181</v>
      </c>
      <c r="E1632" s="84">
        <v>2017.2327272727275</v>
      </c>
      <c r="F1632" s="84">
        <v>586.5272727272727</v>
      </c>
      <c r="G1632" s="84">
        <v>8153.6836363636367</v>
      </c>
      <c r="H1632" s="84">
        <v>59.083636363636359</v>
      </c>
      <c r="I1632" s="84"/>
      <c r="J1632" s="84">
        <v>1515.1578048590841</v>
      </c>
      <c r="K1632" s="84">
        <v>1566.7054849599776</v>
      </c>
      <c r="L1632" s="84">
        <v>455.5327121342101</v>
      </c>
      <c r="M1632" s="84">
        <v>6332.6460566551368</v>
      </c>
      <c r="N1632" s="84">
        <v>45.887941391590843</v>
      </c>
    </row>
    <row r="1633" spans="1:14" x14ac:dyDescent="0.25">
      <c r="A1633" s="74" t="s">
        <v>3947</v>
      </c>
      <c r="B1633" s="74">
        <v>8473</v>
      </c>
      <c r="C1633" t="e">
        <f>VLOOKUP(B1633,'Waste Lookups'!$B$1:$C$292,2,FALSE)</f>
        <v>#N/A</v>
      </c>
      <c r="D1633" s="84">
        <v>367.05818181818182</v>
      </c>
      <c r="E1633" s="84">
        <v>236.11636363636364</v>
      </c>
      <c r="F1633" s="84">
        <v>23.618181818181817</v>
      </c>
      <c r="G1633" s="84">
        <v>418.63636363636363</v>
      </c>
      <c r="H1633" s="84">
        <v>0</v>
      </c>
      <c r="I1633" s="84"/>
      <c r="J1633" s="84">
        <v>627.8331964604356</v>
      </c>
      <c r="K1633" s="84">
        <v>403.86428817397291</v>
      </c>
      <c r="L1633" s="84">
        <v>40.397624463899987</v>
      </c>
      <c r="M1633" s="84">
        <v>716.05489090169146</v>
      </c>
      <c r="N1633" s="84">
        <v>0</v>
      </c>
    </row>
    <row r="1634" spans="1:14" x14ac:dyDescent="0.25">
      <c r="A1634" s="74" t="s">
        <v>3949</v>
      </c>
      <c r="B1634" s="74">
        <v>8474</v>
      </c>
      <c r="C1634" t="e">
        <f>VLOOKUP(B1634,'Waste Lookups'!$B$1:$C$292,2,FALSE)</f>
        <v>#N/A</v>
      </c>
      <c r="D1634" s="84">
        <v>1254.6545454545453</v>
      </c>
      <c r="E1634" s="84">
        <v>2596.6581818181817</v>
      </c>
      <c r="F1634" s="84">
        <v>651.92727272727279</v>
      </c>
      <c r="G1634" s="84">
        <v>4473.9054545454546</v>
      </c>
      <c r="H1634" s="84">
        <v>0</v>
      </c>
      <c r="I1634" s="84"/>
      <c r="J1634" s="84">
        <v>1365.6086186133271</v>
      </c>
      <c r="K1634" s="84">
        <v>2826.2909543750493</v>
      </c>
      <c r="L1634" s="84">
        <v>709.57978478682242</v>
      </c>
      <c r="M1634" s="84">
        <v>4869.5506422248018</v>
      </c>
      <c r="N1634" s="84">
        <v>0</v>
      </c>
    </row>
    <row r="1635" spans="1:14" x14ac:dyDescent="0.25">
      <c r="A1635" s="74" t="s">
        <v>3951</v>
      </c>
      <c r="B1635" s="74">
        <v>8475</v>
      </c>
      <c r="C1635" t="e">
        <f>VLOOKUP(B1635,'Waste Lookups'!$B$1:$C$292,2,FALSE)</f>
        <v>#N/A</v>
      </c>
      <c r="D1635" s="84">
        <v>871.11272727272728</v>
      </c>
      <c r="E1635" s="84">
        <v>2119.0036363636364</v>
      </c>
      <c r="F1635" s="84">
        <v>545.89090909090908</v>
      </c>
      <c r="G1635" s="84">
        <v>7296.4581818181814</v>
      </c>
      <c r="H1635" s="84">
        <v>0</v>
      </c>
      <c r="I1635" s="84"/>
      <c r="J1635" s="84">
        <v>764.20371847859383</v>
      </c>
      <c r="K1635" s="84">
        <v>1858.9447814045859</v>
      </c>
      <c r="L1635" s="84">
        <v>478.89538236573696</v>
      </c>
      <c r="M1635" s="84">
        <v>6400.9861177510847</v>
      </c>
      <c r="N1635" s="84">
        <v>0</v>
      </c>
    </row>
    <row r="1636" spans="1:14" x14ac:dyDescent="0.25">
      <c r="A1636" s="74" t="s">
        <v>3953</v>
      </c>
      <c r="B1636" s="74">
        <v>8476</v>
      </c>
      <c r="C1636" t="e">
        <f>VLOOKUP(B1636,'Waste Lookups'!$B$1:$C$292,2,FALSE)</f>
        <v>#N/A</v>
      </c>
      <c r="D1636" s="84">
        <v>114.73090909090908</v>
      </c>
      <c r="E1636" s="84">
        <v>472.21090909090913</v>
      </c>
      <c r="F1636" s="84">
        <v>0</v>
      </c>
      <c r="G1636" s="84">
        <v>710.53090909090918</v>
      </c>
      <c r="H1636" s="84">
        <v>0</v>
      </c>
      <c r="I1636" s="84"/>
      <c r="J1636" s="84">
        <v>457.5953906755791</v>
      </c>
      <c r="K1636" s="84">
        <v>1883.3768261655525</v>
      </c>
      <c r="L1636" s="84">
        <v>0</v>
      </c>
      <c r="M1636" s="84">
        <v>2833.8977831588686</v>
      </c>
      <c r="N1636" s="84">
        <v>0</v>
      </c>
    </row>
    <row r="1637" spans="1:14" x14ac:dyDescent="0.25">
      <c r="A1637" s="74" t="s">
        <v>3955</v>
      </c>
      <c r="B1637" s="74">
        <v>8477</v>
      </c>
      <c r="C1637" t="e">
        <f>VLOOKUP(B1637,'Waste Lookups'!$B$1:$C$292,2,FALSE)</f>
        <v>#N/A</v>
      </c>
      <c r="D1637" s="84">
        <v>0</v>
      </c>
      <c r="E1637" s="84">
        <v>0</v>
      </c>
      <c r="F1637" s="84">
        <v>0</v>
      </c>
      <c r="G1637" s="84">
        <v>48.578181818181818</v>
      </c>
      <c r="H1637" s="84">
        <v>0</v>
      </c>
      <c r="I1637" s="84"/>
      <c r="J1637" s="84">
        <v>0</v>
      </c>
      <c r="K1637" s="84">
        <v>0</v>
      </c>
      <c r="L1637" s="84">
        <v>0</v>
      </c>
      <c r="M1637" s="84">
        <v>268.05</v>
      </c>
      <c r="N1637" s="84">
        <v>0</v>
      </c>
    </row>
    <row r="1638" spans="1:14" x14ac:dyDescent="0.25">
      <c r="A1638" s="74" t="s">
        <v>3957</v>
      </c>
      <c r="B1638" s="74">
        <v>8478</v>
      </c>
      <c r="C1638" t="e">
        <f>VLOOKUP(B1638,'Waste Lookups'!$B$1:$C$292,2,FALSE)</f>
        <v>#N/A</v>
      </c>
      <c r="D1638" s="84">
        <v>0</v>
      </c>
      <c r="E1638" s="84">
        <v>222.99272727272728</v>
      </c>
      <c r="F1638" s="84">
        <v>191.12727272727273</v>
      </c>
      <c r="G1638" s="84">
        <v>755.83636363636367</v>
      </c>
      <c r="H1638" s="84">
        <v>0</v>
      </c>
      <c r="I1638" s="84"/>
      <c r="J1638" s="84">
        <v>0</v>
      </c>
      <c r="K1638" s="84">
        <v>602.98910588739909</v>
      </c>
      <c r="L1638" s="84">
        <v>516.82252018723307</v>
      </c>
      <c r="M1638" s="84">
        <v>2043.8383739253679</v>
      </c>
      <c r="N1638" s="84">
        <v>0</v>
      </c>
    </row>
    <row r="1639" spans="1:14" x14ac:dyDescent="0.25">
      <c r="A1639" s="74" t="s">
        <v>3959</v>
      </c>
      <c r="B1639" s="74">
        <v>8481</v>
      </c>
      <c r="C1639" t="e">
        <f>VLOOKUP(B1639,'Waste Lookups'!$B$1:$C$292,2,FALSE)</f>
        <v>#N/A</v>
      </c>
      <c r="D1639" s="84">
        <v>477.18545454545455</v>
      </c>
      <c r="E1639" s="84">
        <v>223.00363636363636</v>
      </c>
      <c r="F1639" s="84">
        <v>0</v>
      </c>
      <c r="G1639" s="84">
        <v>328.04727272727268</v>
      </c>
      <c r="H1639" s="84">
        <v>0</v>
      </c>
      <c r="I1639" s="84"/>
      <c r="J1639" s="84">
        <v>684.5573111240783</v>
      </c>
      <c r="K1639" s="84">
        <v>319.91496854278284</v>
      </c>
      <c r="L1639" s="84">
        <v>0</v>
      </c>
      <c r="M1639" s="84">
        <v>470.60772033313873</v>
      </c>
      <c r="N1639" s="84">
        <v>0</v>
      </c>
    </row>
    <row r="1640" spans="1:14" x14ac:dyDescent="0.25">
      <c r="A1640" s="74" t="s">
        <v>3961</v>
      </c>
      <c r="B1640" s="74">
        <v>8482</v>
      </c>
      <c r="C1640" t="e">
        <f>VLOOKUP(B1640,'Waste Lookups'!$B$1:$C$292,2,FALSE)</f>
        <v>#N/A</v>
      </c>
      <c r="D1640" s="84">
        <v>1185.5236363636363</v>
      </c>
      <c r="E1640" s="84">
        <v>1738.2763636363638</v>
      </c>
      <c r="F1640" s="84">
        <v>0</v>
      </c>
      <c r="G1640" s="84">
        <v>2323.1127272727272</v>
      </c>
      <c r="H1640" s="84">
        <v>0</v>
      </c>
      <c r="I1640" s="84"/>
      <c r="J1640" s="84">
        <v>1338.8347664600687</v>
      </c>
      <c r="K1640" s="84">
        <v>1963.0691096894384</v>
      </c>
      <c r="L1640" s="84">
        <v>0</v>
      </c>
      <c r="M1640" s="84">
        <v>2623.5361238504925</v>
      </c>
      <c r="N1640" s="84">
        <v>0</v>
      </c>
    </row>
    <row r="1641" spans="1:14" x14ac:dyDescent="0.25">
      <c r="A1641" s="74" t="s">
        <v>3963</v>
      </c>
      <c r="B1641" s="74">
        <v>8484</v>
      </c>
      <c r="C1641" t="e">
        <f>VLOOKUP(B1641,'Waste Lookups'!$B$1:$C$292,2,FALSE)</f>
        <v>#N/A</v>
      </c>
      <c r="D1641" s="84">
        <v>724.62545454545455</v>
      </c>
      <c r="E1641" s="84">
        <v>996.88363636363624</v>
      </c>
      <c r="F1641" s="84">
        <v>0</v>
      </c>
      <c r="G1641" s="84">
        <v>1653.8181818181818</v>
      </c>
      <c r="H1641" s="84">
        <v>0</v>
      </c>
      <c r="I1641" s="84"/>
      <c r="J1641" s="84">
        <v>1080.5898097315817</v>
      </c>
      <c r="K1641" s="84">
        <v>1486.5918553998804</v>
      </c>
      <c r="L1641" s="84">
        <v>0</v>
      </c>
      <c r="M1641" s="84">
        <v>2466.238334868538</v>
      </c>
      <c r="N1641" s="84">
        <v>0</v>
      </c>
    </row>
    <row r="1642" spans="1:14" x14ac:dyDescent="0.25">
      <c r="A1642" s="74" t="s">
        <v>3965</v>
      </c>
      <c r="B1642" s="74">
        <v>8485</v>
      </c>
      <c r="C1642" t="e">
        <f>VLOOKUP(B1642,'Waste Lookups'!$B$1:$C$292,2,FALSE)</f>
        <v>#N/A</v>
      </c>
      <c r="D1642" s="84">
        <v>500.80363636363637</v>
      </c>
      <c r="E1642" s="84">
        <v>498.44727272727278</v>
      </c>
      <c r="F1642" s="84">
        <v>49.8</v>
      </c>
      <c r="G1642" s="84">
        <v>732.43636363636358</v>
      </c>
      <c r="H1642" s="84">
        <v>0</v>
      </c>
      <c r="I1642" s="84"/>
      <c r="J1642" s="84">
        <v>613.86061260356507</v>
      </c>
      <c r="K1642" s="84">
        <v>610.97229726336923</v>
      </c>
      <c r="L1642" s="84">
        <v>61.042405222194311</v>
      </c>
      <c r="M1642" s="84">
        <v>897.78468491087108</v>
      </c>
      <c r="N1642" s="84">
        <v>0</v>
      </c>
    </row>
    <row r="1643" spans="1:14" x14ac:dyDescent="0.25">
      <c r="A1643" s="74" t="s">
        <v>3967</v>
      </c>
      <c r="B1643" s="74">
        <v>8491</v>
      </c>
      <c r="C1643" t="e">
        <f>VLOOKUP(B1643,'Waste Lookups'!$B$1:$C$292,2,FALSE)</f>
        <v>#N/A</v>
      </c>
      <c r="D1643" s="84">
        <v>0</v>
      </c>
      <c r="E1643" s="84">
        <v>0</v>
      </c>
      <c r="F1643" s="84">
        <v>0</v>
      </c>
      <c r="G1643" s="84">
        <v>2762.181818181818</v>
      </c>
      <c r="H1643" s="84">
        <v>0</v>
      </c>
      <c r="I1643" s="84"/>
      <c r="J1643" s="84">
        <v>0</v>
      </c>
      <c r="K1643" s="84">
        <v>0</v>
      </c>
      <c r="L1643" s="84">
        <v>0</v>
      </c>
      <c r="M1643" s="84">
        <v>0</v>
      </c>
      <c r="N1643" s="84">
        <v>0</v>
      </c>
    </row>
    <row r="1644" spans="1:14" x14ac:dyDescent="0.25">
      <c r="A1644" s="74" t="s">
        <v>3969</v>
      </c>
      <c r="B1644" s="74">
        <v>8501</v>
      </c>
      <c r="C1644" t="e">
        <f>VLOOKUP(B1644,'Waste Lookups'!$B$1:$C$292,2,FALSE)</f>
        <v>#N/A</v>
      </c>
      <c r="D1644" s="84">
        <v>0</v>
      </c>
      <c r="E1644" s="84">
        <v>0</v>
      </c>
      <c r="F1644" s="84">
        <v>295.44</v>
      </c>
      <c r="G1644" s="84">
        <v>0</v>
      </c>
      <c r="H1644" s="84">
        <v>0</v>
      </c>
      <c r="I1644" s="84"/>
      <c r="J1644" s="84">
        <v>0</v>
      </c>
      <c r="K1644" s="84">
        <v>0</v>
      </c>
      <c r="L1644" s="84">
        <v>0</v>
      </c>
      <c r="M1644" s="84">
        <v>0</v>
      </c>
      <c r="N1644" s="84">
        <v>0</v>
      </c>
    </row>
    <row r="1645" spans="1:14" x14ac:dyDescent="0.25">
      <c r="A1645" s="74" t="s">
        <v>3971</v>
      </c>
      <c r="B1645" s="74">
        <v>8504</v>
      </c>
      <c r="C1645" t="e">
        <f>VLOOKUP(B1645,'Waste Lookups'!$B$1:$C$292,2,FALSE)</f>
        <v>#N/A</v>
      </c>
      <c r="D1645" s="84">
        <v>70.44</v>
      </c>
      <c r="E1645" s="84">
        <v>236.11636363636364</v>
      </c>
      <c r="F1645" s="84">
        <v>0</v>
      </c>
      <c r="G1645" s="84">
        <v>245.12727272727273</v>
      </c>
      <c r="H1645" s="84">
        <v>0</v>
      </c>
      <c r="I1645" s="84"/>
      <c r="J1645" s="84">
        <v>76.127763144885407</v>
      </c>
      <c r="K1645" s="84">
        <v>255.18186549603527</v>
      </c>
      <c r="L1645" s="84">
        <v>0</v>
      </c>
      <c r="M1645" s="84">
        <v>264.9203713590793</v>
      </c>
      <c r="N1645" s="84">
        <v>0</v>
      </c>
    </row>
    <row r="1646" spans="1:14" x14ac:dyDescent="0.25">
      <c r="A1646" s="74" t="s">
        <v>3973</v>
      </c>
      <c r="B1646" s="74">
        <v>8511</v>
      </c>
      <c r="C1646" t="e">
        <f>VLOOKUP(B1646,'Waste Lookups'!$B$1:$C$292,2,FALSE)</f>
        <v>#N/A</v>
      </c>
      <c r="D1646" s="84">
        <v>1833.8072727272727</v>
      </c>
      <c r="E1646" s="84">
        <v>118.05818181818182</v>
      </c>
      <c r="F1646" s="84">
        <v>0</v>
      </c>
      <c r="G1646" s="84">
        <v>227.5418181818182</v>
      </c>
      <c r="H1646" s="84">
        <v>0</v>
      </c>
      <c r="I1646" s="84"/>
      <c r="J1646" s="84">
        <v>1294.7844428093042</v>
      </c>
      <c r="K1646" s="84">
        <v>83.356577017604451</v>
      </c>
      <c r="L1646" s="84">
        <v>0</v>
      </c>
      <c r="M1646" s="84">
        <v>160.65898017309127</v>
      </c>
      <c r="N1646" s="84">
        <v>0</v>
      </c>
    </row>
    <row r="1647" spans="1:14" x14ac:dyDescent="0.25">
      <c r="A1647" s="74" t="s">
        <v>704</v>
      </c>
      <c r="B1647" s="74">
        <v>8514</v>
      </c>
      <c r="C1647" t="str">
        <f>VLOOKUP(B1647,'Waste Lookups'!$B$1:$C$292,2,FALSE)</f>
        <v>Tenacre Court</v>
      </c>
      <c r="D1647" s="84">
        <v>0</v>
      </c>
      <c r="E1647" s="84">
        <v>0</v>
      </c>
      <c r="F1647" s="84">
        <v>0</v>
      </c>
      <c r="G1647" s="84">
        <v>0</v>
      </c>
      <c r="H1647" s="84">
        <v>190.56</v>
      </c>
      <c r="I1647" s="84"/>
      <c r="J1647" s="84">
        <v>0</v>
      </c>
      <c r="K1647" s="84">
        <v>0</v>
      </c>
      <c r="L1647" s="84">
        <v>0</v>
      </c>
      <c r="M1647" s="84">
        <v>0</v>
      </c>
      <c r="N1647" s="84">
        <v>545.91</v>
      </c>
    </row>
    <row r="1648" spans="1:14" x14ac:dyDescent="0.25">
      <c r="A1648" s="74" t="s">
        <v>705</v>
      </c>
      <c r="B1648" s="74">
        <v>8520</v>
      </c>
      <c r="C1648" t="str">
        <f>VLOOKUP(B1648,'Waste Lookups'!$B$1:$C$292,2,FALSE)</f>
        <v>Wharf House</v>
      </c>
      <c r="D1648" s="84">
        <v>0</v>
      </c>
      <c r="E1648" s="84">
        <v>944.42181818181825</v>
      </c>
      <c r="F1648" s="84">
        <v>0</v>
      </c>
      <c r="G1648" s="84">
        <v>1650.3709090909092</v>
      </c>
      <c r="H1648" s="84">
        <v>428.4218181818182</v>
      </c>
      <c r="I1648" s="84"/>
      <c r="J1648" s="84">
        <v>0</v>
      </c>
      <c r="K1648" s="84">
        <v>677.98926402240113</v>
      </c>
      <c r="L1648" s="84">
        <v>0</v>
      </c>
      <c r="M1648" s="84">
        <v>1184.7817749198925</v>
      </c>
      <c r="N1648" s="84">
        <v>307.55896105770614</v>
      </c>
    </row>
    <row r="1649" spans="1:14" x14ac:dyDescent="0.25">
      <c r="A1649" s="74" t="s">
        <v>779</v>
      </c>
      <c r="B1649" s="74">
        <v>8524</v>
      </c>
      <c r="C1649" t="str">
        <f>VLOOKUP(B1649,'Waste Lookups'!$B$1:$C$292,2,FALSE)</f>
        <v>11 Station Road</v>
      </c>
      <c r="D1649" s="84">
        <v>0</v>
      </c>
      <c r="E1649" s="84">
        <v>331.1345454545455</v>
      </c>
      <c r="F1649" s="84">
        <v>0</v>
      </c>
      <c r="G1649" s="84">
        <v>559.51636363636362</v>
      </c>
      <c r="H1649" s="84">
        <v>314.66181818181821</v>
      </c>
      <c r="I1649" s="84"/>
      <c r="J1649" s="84">
        <v>0</v>
      </c>
      <c r="K1649" s="84">
        <v>362.56006407993704</v>
      </c>
      <c r="L1649" s="84">
        <v>0</v>
      </c>
      <c r="M1649" s="84">
        <v>612.61590322843404</v>
      </c>
      <c r="N1649" s="84">
        <v>344.52403269162886</v>
      </c>
    </row>
    <row r="1650" spans="1:14" x14ac:dyDescent="0.25">
      <c r="A1650" s="74" t="s">
        <v>3978</v>
      </c>
      <c r="B1650" s="74">
        <v>8552</v>
      </c>
      <c r="C1650" t="e">
        <f>VLOOKUP(B1650,'Waste Lookups'!$B$1:$C$292,2,FALSE)</f>
        <v>#N/A</v>
      </c>
      <c r="D1650" s="84">
        <v>0</v>
      </c>
      <c r="E1650" s="84">
        <v>77.934545454545457</v>
      </c>
      <c r="F1650" s="84">
        <v>0</v>
      </c>
      <c r="G1650" s="84">
        <v>633.73090909090899</v>
      </c>
      <c r="H1650" s="84">
        <v>79.734545454545454</v>
      </c>
      <c r="I1650" s="84"/>
      <c r="J1650" s="84">
        <v>0</v>
      </c>
      <c r="K1650" s="84">
        <v>40.081045420084088</v>
      </c>
      <c r="L1650" s="84">
        <v>0</v>
      </c>
      <c r="M1650" s="84">
        <v>325.92218512647321</v>
      </c>
      <c r="N1650" s="84">
        <v>41.006769453442693</v>
      </c>
    </row>
    <row r="1651" spans="1:14" x14ac:dyDescent="0.25">
      <c r="A1651" s="74" t="s">
        <v>773</v>
      </c>
      <c r="B1651" s="74">
        <v>8564</v>
      </c>
      <c r="C1651" t="str">
        <f>VLOOKUP(B1651,'Waste Lookups'!$B$1:$C$292,2,FALSE)</f>
        <v>Fifty Pembroke Court</v>
      </c>
      <c r="D1651" s="84">
        <v>0</v>
      </c>
      <c r="E1651" s="84">
        <v>59.083636363636359</v>
      </c>
      <c r="F1651" s="84">
        <v>0</v>
      </c>
      <c r="G1651" s="84">
        <v>103.41818181818181</v>
      </c>
      <c r="H1651" s="84">
        <v>881.35636363636354</v>
      </c>
      <c r="I1651" s="84"/>
      <c r="J1651" s="84">
        <v>0</v>
      </c>
      <c r="K1651" s="84">
        <v>38.285624588502095</v>
      </c>
      <c r="L1651" s="84">
        <v>0</v>
      </c>
      <c r="M1651" s="84">
        <v>67.013981000553883</v>
      </c>
      <c r="N1651" s="84">
        <v>571.11039441094397</v>
      </c>
    </row>
    <row r="1652" spans="1:14" x14ac:dyDescent="0.25">
      <c r="A1652" s="74" t="s">
        <v>3981</v>
      </c>
      <c r="B1652" s="74">
        <v>8569</v>
      </c>
      <c r="C1652" t="e">
        <f>VLOOKUP(B1652,'Waste Lookups'!$B$1:$C$292,2,FALSE)</f>
        <v>#N/A</v>
      </c>
      <c r="D1652" s="84">
        <v>202.45090909090908</v>
      </c>
      <c r="E1652" s="84">
        <v>204.80727272727273</v>
      </c>
      <c r="F1652" s="84">
        <v>0</v>
      </c>
      <c r="G1652" s="84">
        <v>101.92363636363638</v>
      </c>
      <c r="H1652" s="84">
        <v>0</v>
      </c>
      <c r="I1652" s="84"/>
      <c r="J1652" s="84">
        <v>411.69536368505624</v>
      </c>
      <c r="K1652" s="84">
        <v>416.48716229244781</v>
      </c>
      <c r="L1652" s="84">
        <v>0</v>
      </c>
      <c r="M1652" s="84">
        <v>207.26747402249603</v>
      </c>
      <c r="N1652" s="84">
        <v>0</v>
      </c>
    </row>
    <row r="1653" spans="1:14" x14ac:dyDescent="0.25">
      <c r="A1653" s="74" t="s">
        <v>3983</v>
      </c>
      <c r="B1653" s="74">
        <v>8571</v>
      </c>
      <c r="C1653" t="e">
        <f>VLOOKUP(B1653,'Waste Lookups'!$B$1:$C$292,2,FALSE)</f>
        <v>#N/A</v>
      </c>
      <c r="D1653" s="84">
        <v>82.800000000000011</v>
      </c>
      <c r="E1653" s="84">
        <v>0</v>
      </c>
      <c r="F1653" s="84">
        <v>0</v>
      </c>
      <c r="G1653" s="84">
        <v>0</v>
      </c>
      <c r="H1653" s="84">
        <v>0</v>
      </c>
      <c r="I1653" s="84"/>
      <c r="J1653" s="84">
        <v>548.67999999999995</v>
      </c>
      <c r="K1653" s="84">
        <v>0</v>
      </c>
      <c r="L1653" s="84">
        <v>0</v>
      </c>
      <c r="M1653" s="84">
        <v>0</v>
      </c>
      <c r="N1653" s="84">
        <v>0</v>
      </c>
    </row>
    <row r="1654" spans="1:14" x14ac:dyDescent="0.25">
      <c r="A1654" s="74" t="s">
        <v>3985</v>
      </c>
      <c r="B1654" s="74">
        <v>8574</v>
      </c>
      <c r="C1654" t="e">
        <f>VLOOKUP(B1654,'Waste Lookups'!$B$1:$C$292,2,FALSE)</f>
        <v>#N/A</v>
      </c>
      <c r="D1654" s="84">
        <v>184.72363636363639</v>
      </c>
      <c r="E1654" s="84">
        <v>87.676363636363646</v>
      </c>
      <c r="F1654" s="84">
        <v>29.858181818181819</v>
      </c>
      <c r="G1654" s="84">
        <v>269.12727272727273</v>
      </c>
      <c r="H1654" s="84">
        <v>0</v>
      </c>
      <c r="I1654" s="84"/>
      <c r="J1654" s="84">
        <v>120.20596941405579</v>
      </c>
      <c r="K1654" s="84">
        <v>57.053999656337695</v>
      </c>
      <c r="L1654" s="84">
        <v>19.429737098344692</v>
      </c>
      <c r="M1654" s="84">
        <v>175.13029383126178</v>
      </c>
      <c r="N1654" s="84">
        <v>0</v>
      </c>
    </row>
    <row r="1655" spans="1:14" x14ac:dyDescent="0.25">
      <c r="A1655" s="74" t="s">
        <v>3987</v>
      </c>
      <c r="B1655" s="74">
        <v>8578</v>
      </c>
      <c r="C1655" t="e">
        <f>VLOOKUP(B1655,'Waste Lookups'!$B$1:$C$292,2,FALSE)</f>
        <v>#N/A</v>
      </c>
      <c r="D1655" s="84">
        <v>799.88727272727272</v>
      </c>
      <c r="E1655" s="84">
        <v>223.00363636363636</v>
      </c>
      <c r="F1655" s="84">
        <v>327.46909090909094</v>
      </c>
      <c r="G1655" s="84">
        <v>1191.4254545454546</v>
      </c>
      <c r="H1655" s="84">
        <v>185.22545454545454</v>
      </c>
      <c r="I1655" s="84"/>
      <c r="J1655" s="84">
        <v>618.22796536467501</v>
      </c>
      <c r="K1655" s="84">
        <v>172.35814230166096</v>
      </c>
      <c r="L1655" s="84">
        <v>253.09885116971233</v>
      </c>
      <c r="M1655" s="84">
        <v>920.84542380068501</v>
      </c>
      <c r="N1655" s="84">
        <v>143.15961736326688</v>
      </c>
    </row>
    <row r="1656" spans="1:14" x14ac:dyDescent="0.25">
      <c r="A1656" s="74" t="s">
        <v>3989</v>
      </c>
      <c r="B1656" s="74">
        <v>8580</v>
      </c>
      <c r="C1656" t="e">
        <f>VLOOKUP(B1656,'Waste Lookups'!$B$1:$C$292,2,FALSE)</f>
        <v>#N/A</v>
      </c>
      <c r="D1656" s="84">
        <v>0</v>
      </c>
      <c r="E1656" s="84">
        <v>0</v>
      </c>
      <c r="F1656" s="84">
        <v>0</v>
      </c>
      <c r="G1656" s="84">
        <v>0</v>
      </c>
      <c r="H1656" s="84">
        <v>0</v>
      </c>
      <c r="I1656" s="84"/>
      <c r="J1656" s="84">
        <v>0</v>
      </c>
      <c r="K1656" s="84">
        <v>0</v>
      </c>
      <c r="L1656" s="84">
        <v>0</v>
      </c>
      <c r="M1656" s="84">
        <v>0</v>
      </c>
      <c r="N1656" s="84">
        <v>0</v>
      </c>
    </row>
    <row r="1657" spans="1:14" x14ac:dyDescent="0.25">
      <c r="A1657" s="74" t="s">
        <v>3991</v>
      </c>
      <c r="B1657" s="74">
        <v>8583</v>
      </c>
      <c r="C1657" t="e">
        <f>VLOOKUP(B1657,'Waste Lookups'!$B$1:$C$292,2,FALSE)</f>
        <v>#N/A</v>
      </c>
      <c r="D1657" s="84">
        <v>17.476363636363637</v>
      </c>
      <c r="E1657" s="84">
        <v>445.98545454545456</v>
      </c>
      <c r="F1657" s="84">
        <v>0</v>
      </c>
      <c r="G1657" s="84">
        <v>778.00363636363636</v>
      </c>
      <c r="H1657" s="84">
        <v>162.50181818181818</v>
      </c>
      <c r="I1657" s="84"/>
      <c r="J1657" s="84">
        <v>39.182945523205667</v>
      </c>
      <c r="K1657" s="84">
        <v>999.92333263401645</v>
      </c>
      <c r="L1657" s="84">
        <v>0</v>
      </c>
      <c r="M1657" s="84">
        <v>1744.3259212724463</v>
      </c>
      <c r="N1657" s="84">
        <v>364.33780057033186</v>
      </c>
    </row>
    <row r="1658" spans="1:14" x14ac:dyDescent="0.25">
      <c r="A1658" s="74" t="s">
        <v>3993</v>
      </c>
      <c r="B1658" s="74">
        <v>8588</v>
      </c>
      <c r="C1658" t="e">
        <f>VLOOKUP(B1658,'Waste Lookups'!$B$1:$C$292,2,FALSE)</f>
        <v>#N/A</v>
      </c>
      <c r="D1658" s="84">
        <v>149.82545454545456</v>
      </c>
      <c r="E1658" s="84">
        <v>118.05818181818182</v>
      </c>
      <c r="F1658" s="84">
        <v>0</v>
      </c>
      <c r="G1658" s="84">
        <v>359.29090909090911</v>
      </c>
      <c r="H1658" s="84">
        <v>0</v>
      </c>
      <c r="I1658" s="84"/>
      <c r="J1658" s="84">
        <v>143.73268476805063</v>
      </c>
      <c r="K1658" s="84">
        <v>113.25725313527332</v>
      </c>
      <c r="L1658" s="84">
        <v>0</v>
      </c>
      <c r="M1658" s="84">
        <v>344.68006209667595</v>
      </c>
      <c r="N1658" s="84">
        <v>0</v>
      </c>
    </row>
    <row r="1659" spans="1:14" x14ac:dyDescent="0.25">
      <c r="A1659" s="74" t="s">
        <v>3995</v>
      </c>
      <c r="B1659" s="74">
        <v>8590</v>
      </c>
      <c r="C1659" t="e">
        <f>VLOOKUP(B1659,'Waste Lookups'!$B$1:$C$292,2,FALSE)</f>
        <v>#N/A</v>
      </c>
      <c r="D1659" s="84">
        <v>530.80363636363631</v>
      </c>
      <c r="E1659" s="84">
        <v>319.09090909090907</v>
      </c>
      <c r="F1659" s="84">
        <v>237.4581818181818</v>
      </c>
      <c r="G1659" s="84">
        <v>726.01090909090908</v>
      </c>
      <c r="H1659" s="84">
        <v>0</v>
      </c>
      <c r="I1659" s="84"/>
      <c r="J1659" s="84">
        <v>350.34796306211462</v>
      </c>
      <c r="K1659" s="84">
        <v>210.61055797864344</v>
      </c>
      <c r="L1659" s="84">
        <v>156.73025694089338</v>
      </c>
      <c r="M1659" s="84">
        <v>479.1912220183487</v>
      </c>
      <c r="N1659" s="84">
        <v>0</v>
      </c>
    </row>
    <row r="1660" spans="1:14" x14ac:dyDescent="0.25">
      <c r="A1660" s="74" t="s">
        <v>774</v>
      </c>
      <c r="B1660" s="74">
        <v>8618</v>
      </c>
      <c r="C1660" t="str">
        <f>VLOOKUP(B1660,'Waste Lookups'!$B$1:$C$292,2,FALSE)</f>
        <v>Lanchester House</v>
      </c>
      <c r="D1660" s="84">
        <v>0</v>
      </c>
      <c r="E1660" s="84">
        <v>0</v>
      </c>
      <c r="F1660" s="84">
        <v>0</v>
      </c>
      <c r="G1660" s="84">
        <v>0</v>
      </c>
      <c r="H1660" s="84">
        <v>7653.4690909090914</v>
      </c>
      <c r="I1660" s="84"/>
      <c r="J1660" s="84">
        <v>0</v>
      </c>
      <c r="K1660" s="84">
        <v>0</v>
      </c>
      <c r="L1660" s="84">
        <v>0</v>
      </c>
      <c r="M1660" s="84">
        <v>0</v>
      </c>
      <c r="N1660" s="84">
        <v>7338.08</v>
      </c>
    </row>
    <row r="1661" spans="1:14" x14ac:dyDescent="0.25">
      <c r="A1661" s="74" t="s">
        <v>3998</v>
      </c>
      <c r="B1661" s="74">
        <v>8620</v>
      </c>
      <c r="C1661" t="e">
        <f>VLOOKUP(B1661,'Waste Lookups'!$B$1:$C$292,2,FALSE)</f>
        <v>#N/A</v>
      </c>
      <c r="D1661" s="84">
        <v>0</v>
      </c>
      <c r="E1661" s="84">
        <v>564.81818181818187</v>
      </c>
      <c r="F1661" s="84">
        <v>0</v>
      </c>
      <c r="G1661" s="84">
        <v>1629.0872727272726</v>
      </c>
      <c r="H1661" s="84">
        <v>0</v>
      </c>
      <c r="I1661" s="84"/>
      <c r="J1661" s="84">
        <v>0</v>
      </c>
      <c r="K1661" s="84">
        <v>856.66066243013711</v>
      </c>
      <c r="L1661" s="84">
        <v>0</v>
      </c>
      <c r="M1661" s="84">
        <v>2470.8393375698624</v>
      </c>
      <c r="N1661" s="84">
        <v>0</v>
      </c>
    </row>
    <row r="1662" spans="1:14" x14ac:dyDescent="0.25">
      <c r="A1662" s="74" t="s">
        <v>4000</v>
      </c>
      <c r="B1662" s="74">
        <v>8634</v>
      </c>
      <c r="C1662" t="e">
        <f>VLOOKUP(B1662,'Waste Lookups'!$B$1:$C$292,2,FALSE)</f>
        <v>#N/A</v>
      </c>
      <c r="D1662" s="84">
        <v>774.6763636363637</v>
      </c>
      <c r="E1662" s="84">
        <v>774.6763636363637</v>
      </c>
      <c r="F1662" s="84">
        <v>0</v>
      </c>
      <c r="G1662" s="84">
        <v>0</v>
      </c>
      <c r="H1662" s="84">
        <v>59.563636363636363</v>
      </c>
      <c r="I1662" s="84"/>
      <c r="J1662" s="84">
        <v>526.0224829812048</v>
      </c>
      <c r="K1662" s="84">
        <v>526.0224829812048</v>
      </c>
      <c r="L1662" s="84">
        <v>0</v>
      </c>
      <c r="M1662" s="84">
        <v>0</v>
      </c>
      <c r="N1662" s="84">
        <v>40.445034037590517</v>
      </c>
    </row>
    <row r="1663" spans="1:14" x14ac:dyDescent="0.25">
      <c r="A1663" s="74" t="s">
        <v>4002</v>
      </c>
      <c r="B1663" s="74">
        <v>8635</v>
      </c>
      <c r="C1663" t="e">
        <f>VLOOKUP(B1663,'Waste Lookups'!$B$1:$C$292,2,FALSE)</f>
        <v>#N/A</v>
      </c>
      <c r="D1663" s="84">
        <v>4585.363636363636</v>
      </c>
      <c r="E1663" s="84">
        <v>0</v>
      </c>
      <c r="F1663" s="84">
        <v>409.4072727272727</v>
      </c>
      <c r="G1663" s="84">
        <v>0</v>
      </c>
      <c r="H1663" s="84">
        <v>1228.221818181818</v>
      </c>
      <c r="I1663" s="84"/>
      <c r="J1663" s="84">
        <v>3807.6025820374066</v>
      </c>
      <c r="K1663" s="84">
        <v>0</v>
      </c>
      <c r="L1663" s="84">
        <v>339.96435449064847</v>
      </c>
      <c r="M1663" s="84">
        <v>0</v>
      </c>
      <c r="N1663" s="84">
        <v>1019.8930634719453</v>
      </c>
    </row>
    <row r="1664" spans="1:14" x14ac:dyDescent="0.25">
      <c r="A1664" s="74" t="s">
        <v>4004</v>
      </c>
      <c r="B1664" s="74">
        <v>8655</v>
      </c>
      <c r="C1664" t="e">
        <f>VLOOKUP(B1664,'Waste Lookups'!$B$1:$C$292,2,FALSE)</f>
        <v>#N/A</v>
      </c>
      <c r="D1664" s="84">
        <v>0</v>
      </c>
      <c r="E1664" s="84">
        <v>13.09090909090909</v>
      </c>
      <c r="F1664" s="84">
        <v>0</v>
      </c>
      <c r="G1664" s="84">
        <v>0</v>
      </c>
      <c r="H1664" s="84">
        <v>0</v>
      </c>
      <c r="I1664" s="84"/>
      <c r="J1664" s="84">
        <v>0</v>
      </c>
      <c r="K1664" s="84">
        <v>0</v>
      </c>
      <c r="L1664" s="84">
        <v>0</v>
      </c>
      <c r="M1664" s="84">
        <v>0</v>
      </c>
      <c r="N1664" s="84">
        <v>0</v>
      </c>
    </row>
    <row r="1665" spans="1:14" x14ac:dyDescent="0.25">
      <c r="A1665" s="74" t="s">
        <v>733</v>
      </c>
      <c r="B1665" s="74">
        <v>8656</v>
      </c>
      <c r="C1665" t="str">
        <f>VLOOKUP(B1665,'Waste Lookups'!$B$1:$C$292,2,FALSE)</f>
        <v>Friars Walk</v>
      </c>
      <c r="D1665" s="84">
        <v>0</v>
      </c>
      <c r="E1665" s="84">
        <v>2994.9381818181819</v>
      </c>
      <c r="F1665" s="84">
        <v>0</v>
      </c>
      <c r="G1665" s="84">
        <v>0</v>
      </c>
      <c r="H1665" s="84">
        <v>3633.7309090909093</v>
      </c>
      <c r="I1665" s="84"/>
      <c r="J1665" s="84">
        <v>0</v>
      </c>
      <c r="K1665" s="84">
        <v>3787.4011143660268</v>
      </c>
      <c r="L1665" s="84">
        <v>0</v>
      </c>
      <c r="M1665" s="84">
        <v>0</v>
      </c>
      <c r="N1665" s="84">
        <v>4595.2188856339735</v>
      </c>
    </row>
    <row r="1666" spans="1:14" x14ac:dyDescent="0.25">
      <c r="A1666" s="74" t="s">
        <v>4007</v>
      </c>
      <c r="B1666" s="74">
        <v>8670</v>
      </c>
      <c r="C1666" t="e">
        <f>VLOOKUP(B1666,'Waste Lookups'!$B$1:$C$292,2,FALSE)</f>
        <v>#N/A</v>
      </c>
      <c r="D1666" s="84">
        <v>0</v>
      </c>
      <c r="E1666" s="84">
        <v>170.18181818181819</v>
      </c>
      <c r="F1666" s="84">
        <v>0</v>
      </c>
      <c r="G1666" s="84">
        <v>0</v>
      </c>
      <c r="H1666" s="84">
        <v>0</v>
      </c>
      <c r="I1666" s="84"/>
      <c r="J1666" s="84">
        <v>0</v>
      </c>
      <c r="K1666" s="84">
        <v>1126.8</v>
      </c>
      <c r="L1666" s="84">
        <v>0</v>
      </c>
      <c r="M1666" s="84">
        <v>0</v>
      </c>
      <c r="N1666" s="84">
        <v>0</v>
      </c>
    </row>
    <row r="1667" spans="1:14" x14ac:dyDescent="0.25">
      <c r="A1667" s="74" t="s">
        <v>4009</v>
      </c>
      <c r="B1667" s="74">
        <v>8674</v>
      </c>
      <c r="C1667" t="e">
        <f>VLOOKUP(B1667,'Waste Lookups'!$B$1:$C$292,2,FALSE)</f>
        <v>#N/A</v>
      </c>
      <c r="D1667" s="84">
        <v>4288.3854545454542</v>
      </c>
      <c r="E1667" s="84">
        <v>3769.3090909090906</v>
      </c>
      <c r="F1667" s="84">
        <v>372.25090909090909</v>
      </c>
      <c r="G1667" s="84">
        <v>0</v>
      </c>
      <c r="H1667" s="84">
        <v>0</v>
      </c>
      <c r="I1667" s="84"/>
      <c r="J1667" s="84">
        <v>4490.7978177535924</v>
      </c>
      <c r="K1667" s="84">
        <v>3947.2209807892641</v>
      </c>
      <c r="L1667" s="84">
        <v>389.8212014571431</v>
      </c>
      <c r="M1667" s="84">
        <v>0</v>
      </c>
      <c r="N1667" s="84">
        <v>0</v>
      </c>
    </row>
    <row r="1668" spans="1:14" x14ac:dyDescent="0.25">
      <c r="A1668" s="74" t="s">
        <v>4011</v>
      </c>
      <c r="B1668" s="74">
        <v>8676</v>
      </c>
      <c r="C1668" t="e">
        <f>VLOOKUP(B1668,'Waste Lookups'!$B$1:$C$292,2,FALSE)</f>
        <v>#N/A</v>
      </c>
      <c r="D1668" s="84">
        <v>2628.0981818181822</v>
      </c>
      <c r="E1668" s="84">
        <v>1257.9272727272726</v>
      </c>
      <c r="F1668" s="84">
        <v>0</v>
      </c>
      <c r="G1668" s="84">
        <v>0</v>
      </c>
      <c r="H1668" s="84">
        <v>0</v>
      </c>
      <c r="I1668" s="84"/>
      <c r="J1668" s="84">
        <v>2682.7661515528371</v>
      </c>
      <c r="K1668" s="84">
        <v>1284.0938484471628</v>
      </c>
      <c r="L1668" s="84">
        <v>0</v>
      </c>
      <c r="M1668" s="84">
        <v>0</v>
      </c>
      <c r="N1668" s="84">
        <v>0</v>
      </c>
    </row>
    <row r="1669" spans="1:14" x14ac:dyDescent="0.25">
      <c r="A1669" s="74" t="s">
        <v>4013</v>
      </c>
      <c r="B1669" s="74">
        <v>8677</v>
      </c>
      <c r="C1669" t="e">
        <f>VLOOKUP(B1669,'Waste Lookups'!$B$1:$C$292,2,FALSE)</f>
        <v>#N/A</v>
      </c>
      <c r="D1669" s="84">
        <v>4118.0290909090909</v>
      </c>
      <c r="E1669" s="84">
        <v>1826.6727272727271</v>
      </c>
      <c r="F1669" s="84">
        <v>0</v>
      </c>
      <c r="G1669" s="84">
        <v>286.4727272727273</v>
      </c>
      <c r="H1669" s="84">
        <v>0</v>
      </c>
      <c r="I1669" s="84"/>
      <c r="J1669" s="84">
        <v>5097.0268691908668</v>
      </c>
      <c r="K1669" s="84">
        <v>2260.9359396419059</v>
      </c>
      <c r="L1669" s="84">
        <v>0</v>
      </c>
      <c r="M1669" s="84">
        <v>354.5771911672278</v>
      </c>
      <c r="N1669" s="84">
        <v>0</v>
      </c>
    </row>
    <row r="1670" spans="1:14" x14ac:dyDescent="0.25">
      <c r="A1670" s="74" t="s">
        <v>4015</v>
      </c>
      <c r="B1670" s="74">
        <v>8678</v>
      </c>
      <c r="C1670" t="e">
        <f>VLOOKUP(B1670,'Waste Lookups'!$B$1:$C$292,2,FALSE)</f>
        <v>#N/A</v>
      </c>
      <c r="D1670" s="84">
        <v>0</v>
      </c>
      <c r="E1670" s="84">
        <v>5087.6618181818176</v>
      </c>
      <c r="F1670" s="84">
        <v>0</v>
      </c>
      <c r="G1670" s="84">
        <v>0</v>
      </c>
      <c r="H1670" s="84">
        <v>0</v>
      </c>
      <c r="I1670" s="84"/>
      <c r="J1670" s="84">
        <v>0</v>
      </c>
      <c r="K1670" s="84">
        <v>1339.69</v>
      </c>
      <c r="L1670" s="84">
        <v>0</v>
      </c>
      <c r="M1670" s="84">
        <v>0</v>
      </c>
      <c r="N1670" s="84">
        <v>0</v>
      </c>
    </row>
    <row r="1671" spans="1:14" x14ac:dyDescent="0.25">
      <c r="A1671" s="74" t="s">
        <v>4017</v>
      </c>
      <c r="B1671" s="74">
        <v>8680</v>
      </c>
      <c r="C1671" t="e">
        <f>VLOOKUP(B1671,'Waste Lookups'!$B$1:$C$292,2,FALSE)</f>
        <v>#N/A</v>
      </c>
      <c r="D1671" s="84">
        <v>331.41818181818184</v>
      </c>
      <c r="E1671" s="84">
        <v>631.99636363636364</v>
      </c>
      <c r="F1671" s="84">
        <v>0</v>
      </c>
      <c r="G1671" s="84">
        <v>202.94181818181818</v>
      </c>
      <c r="H1671" s="84">
        <v>0</v>
      </c>
      <c r="I1671" s="84"/>
      <c r="J1671" s="84">
        <v>239.73024056268471</v>
      </c>
      <c r="K1671" s="84">
        <v>457.15246960230451</v>
      </c>
      <c r="L1671" s="84">
        <v>0</v>
      </c>
      <c r="M1671" s="84">
        <v>146.79728983501062</v>
      </c>
      <c r="N1671" s="84">
        <v>0</v>
      </c>
    </row>
    <row r="1672" spans="1:14" x14ac:dyDescent="0.25">
      <c r="A1672" s="74" t="s">
        <v>4019</v>
      </c>
      <c r="B1672" s="74">
        <v>8681</v>
      </c>
      <c r="C1672" t="e">
        <f>VLOOKUP(B1672,'Waste Lookups'!$B$1:$C$292,2,FALSE)</f>
        <v>#N/A</v>
      </c>
      <c r="D1672" s="84">
        <v>0</v>
      </c>
      <c r="E1672" s="84">
        <v>456.65454545454543</v>
      </c>
      <c r="F1672" s="84">
        <v>0</v>
      </c>
      <c r="G1672" s="84">
        <v>456.65454545454543</v>
      </c>
      <c r="H1672" s="84">
        <v>0</v>
      </c>
      <c r="I1672" s="84"/>
      <c r="J1672" s="84">
        <v>0</v>
      </c>
      <c r="K1672" s="84">
        <v>0</v>
      </c>
      <c r="L1672" s="84">
        <v>0</v>
      </c>
      <c r="M1672" s="84">
        <v>0</v>
      </c>
      <c r="N1672" s="84">
        <v>0</v>
      </c>
    </row>
    <row r="1673" spans="1:14" x14ac:dyDescent="0.25">
      <c r="A1673" s="74" t="s">
        <v>4021</v>
      </c>
      <c r="B1673" s="74">
        <v>8682</v>
      </c>
      <c r="C1673" t="e">
        <f>VLOOKUP(B1673,'Waste Lookups'!$B$1:$C$292,2,FALSE)</f>
        <v>#N/A</v>
      </c>
      <c r="D1673" s="84">
        <v>64.538181818181812</v>
      </c>
      <c r="E1673" s="84">
        <v>0</v>
      </c>
      <c r="F1673" s="84">
        <v>0</v>
      </c>
      <c r="G1673" s="84">
        <v>0</v>
      </c>
      <c r="H1673" s="84">
        <v>0</v>
      </c>
      <c r="I1673" s="84"/>
      <c r="J1673" s="84">
        <v>899.24</v>
      </c>
      <c r="K1673" s="84">
        <v>0</v>
      </c>
      <c r="L1673" s="84">
        <v>0</v>
      </c>
      <c r="M1673" s="84">
        <v>0</v>
      </c>
      <c r="N1673" s="84">
        <v>0</v>
      </c>
    </row>
    <row r="1674" spans="1:14" x14ac:dyDescent="0.25">
      <c r="A1674" s="74" t="s">
        <v>4023</v>
      </c>
      <c r="B1674" s="74">
        <v>8684</v>
      </c>
      <c r="C1674" t="e">
        <f>VLOOKUP(B1674,'Waste Lookups'!$B$1:$C$292,2,FALSE)</f>
        <v>#N/A</v>
      </c>
      <c r="D1674" s="84">
        <v>0</v>
      </c>
      <c r="E1674" s="84">
        <v>3620.727272727273</v>
      </c>
      <c r="F1674" s="84">
        <v>0</v>
      </c>
      <c r="G1674" s="84">
        <v>0</v>
      </c>
      <c r="H1674" s="84">
        <v>0</v>
      </c>
      <c r="I1674" s="84"/>
      <c r="J1674" s="84">
        <v>0</v>
      </c>
      <c r="K1674" s="84">
        <v>5690</v>
      </c>
      <c r="L1674" s="84">
        <v>0</v>
      </c>
      <c r="M1674" s="84">
        <v>0</v>
      </c>
      <c r="N1674" s="84">
        <v>0</v>
      </c>
    </row>
    <row r="1675" spans="1:14" x14ac:dyDescent="0.25">
      <c r="A1675" s="74" t="s">
        <v>4025</v>
      </c>
      <c r="B1675" s="74">
        <v>8685</v>
      </c>
      <c r="C1675" t="e">
        <f>VLOOKUP(B1675,'Waste Lookups'!$B$1:$C$292,2,FALSE)</f>
        <v>#N/A</v>
      </c>
      <c r="D1675" s="84">
        <v>3979.5163636363632</v>
      </c>
      <c r="E1675" s="84">
        <v>2011.2763636363638</v>
      </c>
      <c r="F1675" s="84">
        <v>0</v>
      </c>
      <c r="G1675" s="84">
        <v>0</v>
      </c>
      <c r="H1675" s="84">
        <v>0</v>
      </c>
      <c r="I1675" s="84"/>
      <c r="J1675" s="84">
        <v>5384.8751416173191</v>
      </c>
      <c r="K1675" s="84">
        <v>2721.5548583826821</v>
      </c>
      <c r="L1675" s="84">
        <v>0</v>
      </c>
      <c r="M1675" s="84">
        <v>0</v>
      </c>
      <c r="N1675" s="84">
        <v>0</v>
      </c>
    </row>
    <row r="1676" spans="1:14" x14ac:dyDescent="0.25">
      <c r="A1676" s="74" t="s">
        <v>4027</v>
      </c>
      <c r="B1676" s="74">
        <v>8686</v>
      </c>
      <c r="C1676" t="e">
        <f>VLOOKUP(B1676,'Waste Lookups'!$B$1:$C$292,2,FALSE)</f>
        <v>#N/A</v>
      </c>
      <c r="D1676" s="84">
        <v>4201.7890909090911</v>
      </c>
      <c r="E1676" s="84">
        <v>0</v>
      </c>
      <c r="F1676" s="84">
        <v>0</v>
      </c>
      <c r="G1676" s="84">
        <v>0</v>
      </c>
      <c r="H1676" s="84">
        <v>0</v>
      </c>
      <c r="I1676" s="84"/>
      <c r="J1676" s="84">
        <v>3669.86</v>
      </c>
      <c r="K1676" s="84">
        <v>0</v>
      </c>
      <c r="L1676" s="84">
        <v>0</v>
      </c>
      <c r="M1676" s="84">
        <v>0</v>
      </c>
      <c r="N1676" s="84">
        <v>0</v>
      </c>
    </row>
    <row r="1677" spans="1:14" x14ac:dyDescent="0.25">
      <c r="A1677" s="74" t="s">
        <v>4029</v>
      </c>
      <c r="B1677" s="74">
        <v>8687</v>
      </c>
      <c r="C1677" t="e">
        <f>VLOOKUP(B1677,'Waste Lookups'!$B$1:$C$292,2,FALSE)</f>
        <v>#N/A</v>
      </c>
      <c r="D1677" s="84">
        <v>78.392727272727271</v>
      </c>
      <c r="E1677" s="84">
        <v>6636.3163636363633</v>
      </c>
      <c r="F1677" s="84">
        <v>0</v>
      </c>
      <c r="G1677" s="84">
        <v>0</v>
      </c>
      <c r="H1677" s="84">
        <v>0</v>
      </c>
      <c r="I1677" s="84"/>
      <c r="J1677" s="84">
        <v>63.330408357229324</v>
      </c>
      <c r="K1677" s="84">
        <v>5361.2195916427709</v>
      </c>
      <c r="L1677" s="84">
        <v>0</v>
      </c>
      <c r="M1677" s="84">
        <v>0</v>
      </c>
      <c r="N1677" s="84">
        <v>0</v>
      </c>
    </row>
    <row r="1678" spans="1:14" x14ac:dyDescent="0.25">
      <c r="A1678" s="74" t="s">
        <v>4031</v>
      </c>
      <c r="B1678" s="74">
        <v>8689</v>
      </c>
      <c r="C1678" t="e">
        <f>VLOOKUP(B1678,'Waste Lookups'!$B$1:$C$292,2,FALSE)</f>
        <v>#N/A</v>
      </c>
      <c r="D1678" s="84">
        <v>6581.2909090909097</v>
      </c>
      <c r="E1678" s="84">
        <v>1504.3090909090909</v>
      </c>
      <c r="F1678" s="84">
        <v>1139.7381818181818</v>
      </c>
      <c r="G1678" s="84">
        <v>0</v>
      </c>
      <c r="H1678" s="84">
        <v>0</v>
      </c>
      <c r="I1678" s="84"/>
      <c r="J1678" s="84">
        <v>6979.9789713547825</v>
      </c>
      <c r="K1678" s="84">
        <v>1595.4386405346854</v>
      </c>
      <c r="L1678" s="84">
        <v>1208.7823881105319</v>
      </c>
      <c r="M1678" s="84">
        <v>0</v>
      </c>
      <c r="N1678" s="84">
        <v>0</v>
      </c>
    </row>
    <row r="1679" spans="1:14" x14ac:dyDescent="0.25">
      <c r="A1679" s="74" t="s">
        <v>4033</v>
      </c>
      <c r="B1679" s="74">
        <v>8692</v>
      </c>
      <c r="C1679" t="e">
        <f>VLOOKUP(B1679,'Waste Lookups'!$B$1:$C$292,2,FALSE)</f>
        <v>#N/A</v>
      </c>
      <c r="D1679" s="84">
        <v>1823.5636363636363</v>
      </c>
      <c r="E1679" s="84">
        <v>4443.2509090909089</v>
      </c>
      <c r="F1679" s="84">
        <v>0</v>
      </c>
      <c r="G1679" s="84">
        <v>0</v>
      </c>
      <c r="H1679" s="84">
        <v>0</v>
      </c>
      <c r="I1679" s="84"/>
      <c r="J1679" s="84">
        <v>1589.108001629362</v>
      </c>
      <c r="K1679" s="84">
        <v>3871.9819983706384</v>
      </c>
      <c r="L1679" s="84">
        <v>0</v>
      </c>
      <c r="M1679" s="84">
        <v>0</v>
      </c>
      <c r="N1679" s="84">
        <v>0</v>
      </c>
    </row>
    <row r="1680" spans="1:14" x14ac:dyDescent="0.25">
      <c r="A1680" s="74" t="s">
        <v>4035</v>
      </c>
      <c r="B1680" s="74">
        <v>8693</v>
      </c>
      <c r="C1680" t="e">
        <f>VLOOKUP(B1680,'Waste Lookups'!$B$1:$C$292,2,FALSE)</f>
        <v>#N/A</v>
      </c>
      <c r="D1680" s="84">
        <v>1298.6727272727273</v>
      </c>
      <c r="E1680" s="84">
        <v>2259.0436363636363</v>
      </c>
      <c r="F1680" s="84">
        <v>0</v>
      </c>
      <c r="G1680" s="84">
        <v>0</v>
      </c>
      <c r="H1680" s="84">
        <v>0</v>
      </c>
      <c r="I1680" s="84"/>
      <c r="J1680" s="84">
        <v>1407.6902241172068</v>
      </c>
      <c r="K1680" s="84">
        <v>2448.6797758827929</v>
      </c>
      <c r="L1680" s="84">
        <v>0</v>
      </c>
      <c r="M1680" s="84">
        <v>0</v>
      </c>
      <c r="N1680" s="84">
        <v>0</v>
      </c>
    </row>
    <row r="1681" spans="1:14" x14ac:dyDescent="0.25">
      <c r="A1681" s="74" t="s">
        <v>4037</v>
      </c>
      <c r="B1681" s="74">
        <v>8695</v>
      </c>
      <c r="C1681" t="e">
        <f>VLOOKUP(B1681,'Waste Lookups'!$B$1:$C$292,2,FALSE)</f>
        <v>#N/A</v>
      </c>
      <c r="D1681" s="84">
        <v>0</v>
      </c>
      <c r="E1681" s="84">
        <v>814.36363636363626</v>
      </c>
      <c r="F1681" s="84">
        <v>0</v>
      </c>
      <c r="G1681" s="84">
        <v>0</v>
      </c>
      <c r="H1681" s="84">
        <v>0</v>
      </c>
      <c r="I1681" s="84"/>
      <c r="J1681" s="84">
        <v>0</v>
      </c>
      <c r="K1681" s="84">
        <v>791.2</v>
      </c>
      <c r="L1681" s="84">
        <v>0</v>
      </c>
      <c r="M1681" s="84">
        <v>0</v>
      </c>
      <c r="N1681" s="84">
        <v>0</v>
      </c>
    </row>
    <row r="1682" spans="1:14" x14ac:dyDescent="0.25">
      <c r="A1682" s="74" t="s">
        <v>4039</v>
      </c>
      <c r="B1682" s="74">
        <v>8701</v>
      </c>
      <c r="C1682" t="e">
        <f>VLOOKUP(B1682,'Waste Lookups'!$B$1:$C$292,2,FALSE)</f>
        <v>#N/A</v>
      </c>
      <c r="D1682" s="84">
        <v>3019.298181818182</v>
      </c>
      <c r="E1682" s="84">
        <v>1243.0145454545454</v>
      </c>
      <c r="F1682" s="84">
        <v>0</v>
      </c>
      <c r="G1682" s="84">
        <v>0</v>
      </c>
      <c r="H1682" s="84">
        <v>0</v>
      </c>
      <c r="I1682" s="84"/>
      <c r="J1682" s="84">
        <v>3566.9236033446637</v>
      </c>
      <c r="K1682" s="84">
        <v>1468.4663966553371</v>
      </c>
      <c r="L1682" s="84">
        <v>0</v>
      </c>
      <c r="M1682" s="84">
        <v>0</v>
      </c>
      <c r="N1682" s="84">
        <v>0</v>
      </c>
    </row>
    <row r="1683" spans="1:14" x14ac:dyDescent="0.25">
      <c r="A1683" s="74" t="s">
        <v>4041</v>
      </c>
      <c r="B1683" s="74">
        <v>8702</v>
      </c>
      <c r="C1683" t="e">
        <f>VLOOKUP(B1683,'Waste Lookups'!$B$1:$C$292,2,FALSE)</f>
        <v>#N/A</v>
      </c>
      <c r="D1683" s="84">
        <v>899.95636363636368</v>
      </c>
      <c r="E1683" s="84">
        <v>1253.9345454545455</v>
      </c>
      <c r="F1683" s="84">
        <v>0</v>
      </c>
      <c r="G1683" s="84">
        <v>0</v>
      </c>
      <c r="H1683" s="84">
        <v>0</v>
      </c>
      <c r="I1683" s="84"/>
      <c r="J1683" s="84">
        <v>1673.5356499189627</v>
      </c>
      <c r="K1683" s="84">
        <v>2331.7843500810372</v>
      </c>
      <c r="L1683" s="84">
        <v>0</v>
      </c>
      <c r="M1683" s="84">
        <v>0</v>
      </c>
      <c r="N1683" s="84">
        <v>0</v>
      </c>
    </row>
    <row r="1684" spans="1:14" x14ac:dyDescent="0.25">
      <c r="A1684" s="74" t="s">
        <v>4043</v>
      </c>
      <c r="B1684" s="74">
        <v>8703</v>
      </c>
      <c r="C1684" t="e">
        <f>VLOOKUP(B1684,'Waste Lookups'!$B$1:$C$292,2,FALSE)</f>
        <v>#N/A</v>
      </c>
      <c r="D1684" s="84">
        <v>0</v>
      </c>
      <c r="E1684" s="84">
        <v>1349.9345454545455</v>
      </c>
      <c r="F1684" s="84">
        <v>0</v>
      </c>
      <c r="G1684" s="84">
        <v>0</v>
      </c>
      <c r="H1684" s="84">
        <v>0</v>
      </c>
      <c r="I1684" s="84"/>
      <c r="J1684" s="84">
        <v>0</v>
      </c>
      <c r="K1684" s="84">
        <v>0</v>
      </c>
      <c r="L1684" s="84">
        <v>0</v>
      </c>
      <c r="M1684" s="84">
        <v>0</v>
      </c>
      <c r="N1684" s="84">
        <v>0</v>
      </c>
    </row>
    <row r="1685" spans="1:14" x14ac:dyDescent="0.25">
      <c r="A1685" s="74" t="s">
        <v>4045</v>
      </c>
      <c r="B1685" s="74">
        <v>8705</v>
      </c>
      <c r="C1685" t="e">
        <f>VLOOKUP(B1685,'Waste Lookups'!$B$1:$C$292,2,FALSE)</f>
        <v>#N/A</v>
      </c>
      <c r="D1685" s="84">
        <v>24175.941818181818</v>
      </c>
      <c r="E1685" s="84">
        <v>22395.610909090912</v>
      </c>
      <c r="F1685" s="84">
        <v>0</v>
      </c>
      <c r="G1685" s="84">
        <v>0</v>
      </c>
      <c r="H1685" s="84">
        <v>0</v>
      </c>
      <c r="I1685" s="84"/>
      <c r="J1685" s="84">
        <v>19118.794778371532</v>
      </c>
      <c r="K1685" s="84">
        <v>17710.875221628467</v>
      </c>
      <c r="L1685" s="84">
        <v>0</v>
      </c>
      <c r="M1685" s="84">
        <v>0</v>
      </c>
      <c r="N1685" s="84">
        <v>0</v>
      </c>
    </row>
    <row r="1686" spans="1:14" x14ac:dyDescent="0.25">
      <c r="A1686" s="74" t="s">
        <v>4047</v>
      </c>
      <c r="B1686" s="74">
        <v>8709</v>
      </c>
      <c r="C1686" t="e">
        <f>VLOOKUP(B1686,'Waste Lookups'!$B$1:$C$292,2,FALSE)</f>
        <v>#N/A</v>
      </c>
      <c r="D1686" s="84">
        <v>1386.0763636363636</v>
      </c>
      <c r="E1686" s="84">
        <v>0</v>
      </c>
      <c r="F1686" s="84">
        <v>0</v>
      </c>
      <c r="G1686" s="84">
        <v>0</v>
      </c>
      <c r="H1686" s="84">
        <v>0</v>
      </c>
      <c r="I1686" s="84"/>
      <c r="J1686" s="84">
        <v>2516.54</v>
      </c>
      <c r="K1686" s="84">
        <v>0</v>
      </c>
      <c r="L1686" s="84">
        <v>0</v>
      </c>
      <c r="M1686" s="84">
        <v>0</v>
      </c>
      <c r="N1686" s="84">
        <v>0</v>
      </c>
    </row>
    <row r="1687" spans="1:14" x14ac:dyDescent="0.25">
      <c r="A1687" s="74" t="s">
        <v>4049</v>
      </c>
      <c r="B1687" s="74">
        <v>8710</v>
      </c>
      <c r="C1687" t="e">
        <f>VLOOKUP(B1687,'Waste Lookups'!$B$1:$C$292,2,FALSE)</f>
        <v>#N/A</v>
      </c>
      <c r="D1687" s="84">
        <v>15252.741818181818</v>
      </c>
      <c r="E1687" s="84">
        <v>3829.4072727272728</v>
      </c>
      <c r="F1687" s="84">
        <v>0</v>
      </c>
      <c r="G1687" s="84">
        <v>318.58909090909094</v>
      </c>
      <c r="H1687" s="84">
        <v>0</v>
      </c>
      <c r="I1687" s="84"/>
      <c r="J1687" s="84">
        <v>15493.106305585748</v>
      </c>
      <c r="K1687" s="84">
        <v>3889.7540305195512</v>
      </c>
      <c r="L1687" s="84">
        <v>0</v>
      </c>
      <c r="M1687" s="84">
        <v>323.60966389470099</v>
      </c>
      <c r="N1687" s="84">
        <v>0</v>
      </c>
    </row>
    <row r="1688" spans="1:14" x14ac:dyDescent="0.25">
      <c r="A1688" s="74" t="s">
        <v>4051</v>
      </c>
      <c r="B1688" s="74">
        <v>8711</v>
      </c>
      <c r="C1688" t="e">
        <f>VLOOKUP(B1688,'Waste Lookups'!$B$1:$C$292,2,FALSE)</f>
        <v>#N/A</v>
      </c>
      <c r="D1688" s="84">
        <v>0</v>
      </c>
      <c r="E1688" s="84">
        <v>61.461818181818188</v>
      </c>
      <c r="F1688" s="84">
        <v>0</v>
      </c>
      <c r="G1688" s="84">
        <v>0</v>
      </c>
      <c r="H1688" s="84">
        <v>0</v>
      </c>
      <c r="I1688" s="84"/>
      <c r="J1688" s="84">
        <v>0</v>
      </c>
      <c r="K1688" s="84">
        <v>1432.22</v>
      </c>
      <c r="L1688" s="84">
        <v>0</v>
      </c>
      <c r="M1688" s="84">
        <v>0</v>
      </c>
      <c r="N1688" s="84">
        <v>0</v>
      </c>
    </row>
    <row r="1689" spans="1:14" x14ac:dyDescent="0.25">
      <c r="A1689" s="74" t="s">
        <v>4053</v>
      </c>
      <c r="B1689" s="74">
        <v>8712</v>
      </c>
      <c r="C1689" t="e">
        <f>VLOOKUP(B1689,'Waste Lookups'!$B$1:$C$292,2,FALSE)</f>
        <v>#N/A</v>
      </c>
      <c r="D1689" s="84">
        <v>4502.181818181818</v>
      </c>
      <c r="E1689" s="84">
        <v>10624.014545454545</v>
      </c>
      <c r="F1689" s="84">
        <v>0</v>
      </c>
      <c r="G1689" s="84">
        <v>0</v>
      </c>
      <c r="H1689" s="84">
        <v>0</v>
      </c>
      <c r="I1689" s="84"/>
      <c r="J1689" s="84">
        <v>4159.8655601456258</v>
      </c>
      <c r="K1689" s="84">
        <v>9816.2344398543755</v>
      </c>
      <c r="L1689" s="84">
        <v>0</v>
      </c>
      <c r="M1689" s="84">
        <v>0</v>
      </c>
      <c r="N1689" s="84">
        <v>0</v>
      </c>
    </row>
    <row r="1690" spans="1:14" x14ac:dyDescent="0.25">
      <c r="A1690" s="74" t="s">
        <v>4055</v>
      </c>
      <c r="B1690" s="74">
        <v>8713</v>
      </c>
      <c r="C1690" t="e">
        <f>VLOOKUP(B1690,'Waste Lookups'!$B$1:$C$292,2,FALSE)</f>
        <v>#N/A</v>
      </c>
      <c r="D1690" s="84">
        <v>0</v>
      </c>
      <c r="E1690" s="84">
        <v>2240.9672727272723</v>
      </c>
      <c r="F1690" s="84">
        <v>0</v>
      </c>
      <c r="G1690" s="84">
        <v>0</v>
      </c>
      <c r="H1690" s="84">
        <v>0</v>
      </c>
      <c r="I1690" s="84"/>
      <c r="J1690" s="84">
        <v>0</v>
      </c>
      <c r="K1690" s="84">
        <v>1583.63</v>
      </c>
      <c r="L1690" s="84">
        <v>0</v>
      </c>
      <c r="M1690" s="84">
        <v>0</v>
      </c>
      <c r="N1690" s="84">
        <v>0</v>
      </c>
    </row>
    <row r="1691" spans="1:14" x14ac:dyDescent="0.25">
      <c r="A1691" s="74" t="s">
        <v>4057</v>
      </c>
      <c r="B1691" s="74">
        <v>8714</v>
      </c>
      <c r="C1691" t="e">
        <f>VLOOKUP(B1691,'Waste Lookups'!$B$1:$C$292,2,FALSE)</f>
        <v>#N/A</v>
      </c>
      <c r="D1691" s="84">
        <v>2832.1963636363639</v>
      </c>
      <c r="E1691" s="84">
        <v>2794.3090909090906</v>
      </c>
      <c r="F1691" s="84">
        <v>0</v>
      </c>
      <c r="G1691" s="84">
        <v>863.41090909090917</v>
      </c>
      <c r="H1691" s="84">
        <v>0</v>
      </c>
      <c r="I1691" s="84"/>
      <c r="J1691" s="84">
        <v>2627.6400411491504</v>
      </c>
      <c r="K1691" s="84">
        <v>2592.4891892709638</v>
      </c>
      <c r="L1691" s="84">
        <v>0</v>
      </c>
      <c r="M1691" s="84">
        <v>801.05076957988535</v>
      </c>
      <c r="N1691" s="84">
        <v>0</v>
      </c>
    </row>
    <row r="1692" spans="1:14" x14ac:dyDescent="0.25">
      <c r="A1692" s="74" t="s">
        <v>4059</v>
      </c>
      <c r="B1692" s="74">
        <v>8717</v>
      </c>
      <c r="C1692" t="e">
        <f>VLOOKUP(B1692,'Waste Lookups'!$B$1:$C$292,2,FALSE)</f>
        <v>#N/A</v>
      </c>
      <c r="D1692" s="84">
        <v>2813.2472727272725</v>
      </c>
      <c r="E1692" s="84">
        <v>0</v>
      </c>
      <c r="F1692" s="84">
        <v>0</v>
      </c>
      <c r="G1692" s="84">
        <v>0</v>
      </c>
      <c r="H1692" s="84">
        <v>0</v>
      </c>
      <c r="I1692" s="84"/>
      <c r="J1692" s="84">
        <v>1197.24</v>
      </c>
      <c r="K1692" s="84">
        <v>0</v>
      </c>
      <c r="L1692" s="84">
        <v>0</v>
      </c>
      <c r="M1692" s="84">
        <v>0</v>
      </c>
      <c r="N1692" s="84">
        <v>0</v>
      </c>
    </row>
    <row r="1693" spans="1:14" x14ac:dyDescent="0.25">
      <c r="A1693" s="74" t="s">
        <v>4061</v>
      </c>
      <c r="B1693" s="74">
        <v>8721</v>
      </c>
      <c r="C1693" t="e">
        <f>VLOOKUP(B1693,'Waste Lookups'!$B$1:$C$292,2,FALSE)</f>
        <v>#N/A</v>
      </c>
      <c r="D1693" s="84">
        <v>6944.3563636363633</v>
      </c>
      <c r="E1693" s="84">
        <v>12045.676363636365</v>
      </c>
      <c r="F1693" s="84">
        <v>0</v>
      </c>
      <c r="G1693" s="84">
        <v>252.65454545454546</v>
      </c>
      <c r="H1693" s="84">
        <v>0</v>
      </c>
      <c r="I1693" s="84"/>
      <c r="J1693" s="84">
        <v>8411.3390293172033</v>
      </c>
      <c r="K1693" s="84">
        <v>14590.303611510317</v>
      </c>
      <c r="L1693" s="84">
        <v>0</v>
      </c>
      <c r="M1693" s="84">
        <v>306.02735917247611</v>
      </c>
      <c r="N1693" s="84">
        <v>0</v>
      </c>
    </row>
    <row r="1694" spans="1:14" x14ac:dyDescent="0.25">
      <c r="A1694" s="74" t="s">
        <v>4063</v>
      </c>
      <c r="B1694" s="74">
        <v>8724</v>
      </c>
      <c r="C1694" t="e">
        <f>VLOOKUP(B1694,'Waste Lookups'!$B$1:$C$292,2,FALSE)</f>
        <v>#N/A</v>
      </c>
      <c r="D1694" s="84">
        <v>0</v>
      </c>
      <c r="E1694" s="84">
        <v>1716.12</v>
      </c>
      <c r="F1694" s="84">
        <v>0</v>
      </c>
      <c r="G1694" s="84">
        <v>0</v>
      </c>
      <c r="H1694" s="84">
        <v>0</v>
      </c>
      <c r="I1694" s="84"/>
      <c r="J1694" s="84">
        <v>0</v>
      </c>
      <c r="K1694" s="84">
        <v>1443.51</v>
      </c>
      <c r="L1694" s="84">
        <v>0</v>
      </c>
      <c r="M1694" s="84">
        <v>0</v>
      </c>
      <c r="N1694" s="84">
        <v>0</v>
      </c>
    </row>
    <row r="1695" spans="1:14" x14ac:dyDescent="0.25">
      <c r="A1695" s="74" t="s">
        <v>4065</v>
      </c>
      <c r="B1695" s="74">
        <v>8725</v>
      </c>
      <c r="C1695" t="e">
        <f>VLOOKUP(B1695,'Waste Lookups'!$B$1:$C$292,2,FALSE)</f>
        <v>#N/A</v>
      </c>
      <c r="D1695" s="84">
        <v>0</v>
      </c>
      <c r="E1695" s="84">
        <v>1468.8109090909093</v>
      </c>
      <c r="F1695" s="84">
        <v>0</v>
      </c>
      <c r="G1695" s="84">
        <v>0</v>
      </c>
      <c r="H1695" s="84">
        <v>0</v>
      </c>
      <c r="I1695" s="84"/>
      <c r="J1695" s="84">
        <v>0</v>
      </c>
      <c r="K1695" s="84">
        <v>989.42</v>
      </c>
      <c r="L1695" s="84">
        <v>0</v>
      </c>
      <c r="M1695" s="84">
        <v>0</v>
      </c>
      <c r="N1695" s="84">
        <v>0</v>
      </c>
    </row>
    <row r="1696" spans="1:14" x14ac:dyDescent="0.25">
      <c r="A1696" s="74" t="s">
        <v>4067</v>
      </c>
      <c r="B1696" s="74">
        <v>8727</v>
      </c>
      <c r="C1696" t="e">
        <f>VLOOKUP(B1696,'Waste Lookups'!$B$1:$C$292,2,FALSE)</f>
        <v>#N/A</v>
      </c>
      <c r="D1696" s="84">
        <v>1548.0872727272726</v>
      </c>
      <c r="E1696" s="84">
        <v>0</v>
      </c>
      <c r="F1696" s="84">
        <v>0</v>
      </c>
      <c r="G1696" s="84">
        <v>0</v>
      </c>
      <c r="H1696" s="84">
        <v>0</v>
      </c>
      <c r="I1696" s="84"/>
      <c r="J1696" s="84">
        <v>731.16</v>
      </c>
      <c r="K1696" s="84">
        <v>0</v>
      </c>
      <c r="L1696" s="84">
        <v>0</v>
      </c>
      <c r="M1696" s="84">
        <v>0</v>
      </c>
      <c r="N1696" s="84">
        <v>0</v>
      </c>
    </row>
    <row r="1697" spans="1:14" x14ac:dyDescent="0.25">
      <c r="A1697" s="74" t="s">
        <v>4069</v>
      </c>
      <c r="B1697" s="74">
        <v>8729</v>
      </c>
      <c r="C1697" t="e">
        <f>VLOOKUP(B1697,'Waste Lookups'!$B$1:$C$292,2,FALSE)</f>
        <v>#N/A</v>
      </c>
      <c r="D1697" s="84">
        <v>4531.5490909090913</v>
      </c>
      <c r="E1697" s="84">
        <v>2371.6799999999998</v>
      </c>
      <c r="F1697" s="84">
        <v>592.62545454545455</v>
      </c>
      <c r="G1697" s="84">
        <v>0</v>
      </c>
      <c r="H1697" s="84">
        <v>0</v>
      </c>
      <c r="I1697" s="84"/>
      <c r="J1697" s="84">
        <v>5214.8345050646176</v>
      </c>
      <c r="K1697" s="84">
        <v>2729.2915625218297</v>
      </c>
      <c r="L1697" s="84">
        <v>681.98393241355222</v>
      </c>
      <c r="M1697" s="84">
        <v>0</v>
      </c>
      <c r="N1697" s="84">
        <v>0</v>
      </c>
    </row>
    <row r="1698" spans="1:14" x14ac:dyDescent="0.25">
      <c r="A1698" s="74" t="s">
        <v>4071</v>
      </c>
      <c r="B1698" s="74">
        <v>8730</v>
      </c>
      <c r="C1698" t="e">
        <f>VLOOKUP(B1698,'Waste Lookups'!$B$1:$C$292,2,FALSE)</f>
        <v>#N/A</v>
      </c>
      <c r="D1698" s="84">
        <v>3506.6836363636367</v>
      </c>
      <c r="E1698" s="84">
        <v>2980.2109090909094</v>
      </c>
      <c r="F1698" s="84">
        <v>594.90545454545463</v>
      </c>
      <c r="G1698" s="84">
        <v>0</v>
      </c>
      <c r="H1698" s="84">
        <v>0</v>
      </c>
      <c r="I1698" s="84"/>
      <c r="J1698" s="84">
        <v>3480.6179713324036</v>
      </c>
      <c r="K1698" s="84">
        <v>2958.0585887409206</v>
      </c>
      <c r="L1698" s="84">
        <v>590.48343992667503</v>
      </c>
      <c r="M1698" s="84">
        <v>0</v>
      </c>
      <c r="N1698" s="84">
        <v>0</v>
      </c>
    </row>
    <row r="1699" spans="1:14" x14ac:dyDescent="0.25">
      <c r="A1699" s="74" t="s">
        <v>4073</v>
      </c>
      <c r="B1699" s="74">
        <v>8731</v>
      </c>
      <c r="C1699" t="e">
        <f>VLOOKUP(B1699,'Waste Lookups'!$B$1:$C$292,2,FALSE)</f>
        <v>#N/A</v>
      </c>
      <c r="D1699" s="84">
        <v>1724.9454545454546</v>
      </c>
      <c r="E1699" s="84">
        <v>1506.1090909090908</v>
      </c>
      <c r="F1699" s="84">
        <v>0</v>
      </c>
      <c r="G1699" s="84">
        <v>0</v>
      </c>
      <c r="H1699" s="84">
        <v>0</v>
      </c>
      <c r="I1699" s="84"/>
      <c r="J1699" s="84">
        <v>2228.3132270916335</v>
      </c>
      <c r="K1699" s="84">
        <v>1945.6167729083666</v>
      </c>
      <c r="L1699" s="84">
        <v>0</v>
      </c>
      <c r="M1699" s="84">
        <v>0</v>
      </c>
      <c r="N1699" s="84">
        <v>0</v>
      </c>
    </row>
    <row r="1700" spans="1:14" x14ac:dyDescent="0.25">
      <c r="A1700" s="74" t="s">
        <v>4075</v>
      </c>
      <c r="B1700" s="74">
        <v>8732</v>
      </c>
      <c r="C1700" t="e">
        <f>VLOOKUP(B1700,'Waste Lookups'!$B$1:$C$292,2,FALSE)</f>
        <v>#N/A</v>
      </c>
      <c r="D1700" s="84">
        <v>7051.7127272727266</v>
      </c>
      <c r="E1700" s="84">
        <v>2363.3018181818184</v>
      </c>
      <c r="F1700" s="84">
        <v>769.72363636363639</v>
      </c>
      <c r="G1700" s="84">
        <v>0</v>
      </c>
      <c r="H1700" s="84">
        <v>0</v>
      </c>
      <c r="I1700" s="84"/>
      <c r="J1700" s="84">
        <v>7118.1894248720801</v>
      </c>
      <c r="K1700" s="84">
        <v>2385.58073202578</v>
      </c>
      <c r="L1700" s="84">
        <v>776.97984310213894</v>
      </c>
      <c r="M1700" s="84">
        <v>0</v>
      </c>
      <c r="N1700" s="84">
        <v>0</v>
      </c>
    </row>
    <row r="1701" spans="1:14" x14ac:dyDescent="0.25">
      <c r="A1701" s="74" t="s">
        <v>4077</v>
      </c>
      <c r="B1701" s="74">
        <v>8734</v>
      </c>
      <c r="C1701" t="e">
        <f>VLOOKUP(B1701,'Waste Lookups'!$B$1:$C$292,2,FALSE)</f>
        <v>#N/A</v>
      </c>
      <c r="D1701" s="84">
        <v>2228.312727272727</v>
      </c>
      <c r="E1701" s="84">
        <v>3434.2036363636362</v>
      </c>
      <c r="F1701" s="84">
        <v>409.14545454545453</v>
      </c>
      <c r="G1701" s="84">
        <v>0</v>
      </c>
      <c r="H1701" s="84">
        <v>0</v>
      </c>
      <c r="I1701" s="84"/>
      <c r="J1701" s="84">
        <v>3387.9213019050649</v>
      </c>
      <c r="K1701" s="84">
        <v>5221.3549347520257</v>
      </c>
      <c r="L1701" s="84">
        <v>622.06376334290985</v>
      </c>
      <c r="M1701" s="84">
        <v>0</v>
      </c>
      <c r="N1701" s="84">
        <v>0</v>
      </c>
    </row>
    <row r="1702" spans="1:14" x14ac:dyDescent="0.25">
      <c r="A1702" s="74" t="s">
        <v>4079</v>
      </c>
      <c r="B1702" s="74">
        <v>8735</v>
      </c>
      <c r="C1702" t="e">
        <f>VLOOKUP(B1702,'Waste Lookups'!$B$1:$C$292,2,FALSE)</f>
        <v>#N/A</v>
      </c>
      <c r="D1702" s="84">
        <v>1924.778181818182</v>
      </c>
      <c r="E1702" s="84">
        <v>0</v>
      </c>
      <c r="F1702" s="84">
        <v>0</v>
      </c>
      <c r="G1702" s="84">
        <v>0</v>
      </c>
      <c r="H1702" s="84">
        <v>0</v>
      </c>
      <c r="I1702" s="84"/>
      <c r="J1702" s="84">
        <v>859.92</v>
      </c>
      <c r="K1702" s="84">
        <v>0</v>
      </c>
      <c r="L1702" s="84">
        <v>0</v>
      </c>
      <c r="M1702" s="84">
        <v>0</v>
      </c>
      <c r="N1702" s="84">
        <v>0</v>
      </c>
    </row>
    <row r="1703" spans="1:14" x14ac:dyDescent="0.25">
      <c r="A1703" s="74" t="s">
        <v>4081</v>
      </c>
      <c r="B1703" s="74">
        <v>8736</v>
      </c>
      <c r="C1703" t="e">
        <f>VLOOKUP(B1703,'Waste Lookups'!$B$1:$C$292,2,FALSE)</f>
        <v>#N/A</v>
      </c>
      <c r="D1703" s="84">
        <v>7541.0836363636354</v>
      </c>
      <c r="E1703" s="84">
        <v>4714.8545454545456</v>
      </c>
      <c r="F1703" s="84">
        <v>979.93090909090904</v>
      </c>
      <c r="G1703" s="84">
        <v>0</v>
      </c>
      <c r="H1703" s="84">
        <v>0</v>
      </c>
      <c r="I1703" s="84"/>
      <c r="J1703" s="84">
        <v>7471.9283833187164</v>
      </c>
      <c r="K1703" s="84">
        <v>4671.6171309285191</v>
      </c>
      <c r="L1703" s="84">
        <v>970.94448575276442</v>
      </c>
      <c r="M1703" s="84">
        <v>0</v>
      </c>
      <c r="N1703" s="84">
        <v>0</v>
      </c>
    </row>
    <row r="1704" spans="1:14" x14ac:dyDescent="0.25">
      <c r="A1704" s="74" t="s">
        <v>4083</v>
      </c>
      <c r="B1704" s="74">
        <v>8738</v>
      </c>
      <c r="C1704" t="e">
        <f>VLOOKUP(B1704,'Waste Lookups'!$B$1:$C$292,2,FALSE)</f>
        <v>#N/A</v>
      </c>
      <c r="D1704" s="84">
        <v>2689.352727272727</v>
      </c>
      <c r="E1704" s="84">
        <v>1086.7418181818182</v>
      </c>
      <c r="F1704" s="84">
        <v>0</v>
      </c>
      <c r="G1704" s="84">
        <v>0</v>
      </c>
      <c r="H1704" s="84">
        <v>0</v>
      </c>
      <c r="I1704" s="84"/>
      <c r="J1704" s="84">
        <v>2292.4733553281599</v>
      </c>
      <c r="K1704" s="84">
        <v>926.36664467183982</v>
      </c>
      <c r="L1704" s="84">
        <v>0</v>
      </c>
      <c r="M1704" s="84">
        <v>0</v>
      </c>
      <c r="N1704" s="84">
        <v>0</v>
      </c>
    </row>
    <row r="1705" spans="1:14" x14ac:dyDescent="0.25">
      <c r="A1705" s="74" t="s">
        <v>4085</v>
      </c>
      <c r="B1705" s="74">
        <v>8739</v>
      </c>
      <c r="C1705" t="e">
        <f>VLOOKUP(B1705,'Waste Lookups'!$B$1:$C$292,2,FALSE)</f>
        <v>#N/A</v>
      </c>
      <c r="D1705" s="84">
        <v>19416.283636363634</v>
      </c>
      <c r="E1705" s="84">
        <v>5641.32</v>
      </c>
      <c r="F1705" s="84">
        <v>0</v>
      </c>
      <c r="G1705" s="84">
        <v>0</v>
      </c>
      <c r="H1705" s="84">
        <v>0</v>
      </c>
      <c r="I1705" s="84"/>
      <c r="J1705" s="84">
        <v>25529.14399147216</v>
      </c>
      <c r="K1705" s="84">
        <v>7417.386008527842</v>
      </c>
      <c r="L1705" s="84">
        <v>0</v>
      </c>
      <c r="M1705" s="84">
        <v>0</v>
      </c>
      <c r="N1705" s="84">
        <v>0</v>
      </c>
    </row>
    <row r="1706" spans="1:14" x14ac:dyDescent="0.25">
      <c r="A1706" s="74" t="s">
        <v>4087</v>
      </c>
      <c r="B1706" s="74">
        <v>8740</v>
      </c>
      <c r="C1706" t="e">
        <f>VLOOKUP(B1706,'Waste Lookups'!$B$1:$C$292,2,FALSE)</f>
        <v>#N/A</v>
      </c>
      <c r="D1706" s="84">
        <v>2544.3054545454547</v>
      </c>
      <c r="E1706" s="84">
        <v>2064.4581818181819</v>
      </c>
      <c r="F1706" s="84">
        <v>0</v>
      </c>
      <c r="G1706" s="84">
        <v>0</v>
      </c>
      <c r="H1706" s="84">
        <v>124.36363636363636</v>
      </c>
      <c r="I1706" s="84"/>
      <c r="J1706" s="84">
        <v>2820.3402439440388</v>
      </c>
      <c r="K1706" s="84">
        <v>2288.4337577154452</v>
      </c>
      <c r="L1706" s="84">
        <v>0</v>
      </c>
      <c r="M1706" s="84">
        <v>0</v>
      </c>
      <c r="N1706" s="84">
        <v>137.85599834051675</v>
      </c>
    </row>
    <row r="1707" spans="1:14" x14ac:dyDescent="0.25">
      <c r="A1707" s="74" t="s">
        <v>4089</v>
      </c>
      <c r="B1707" s="74">
        <v>8741</v>
      </c>
      <c r="C1707" t="e">
        <f>VLOOKUP(B1707,'Waste Lookups'!$B$1:$C$292,2,FALSE)</f>
        <v>#N/A</v>
      </c>
      <c r="D1707" s="84">
        <v>0</v>
      </c>
      <c r="E1707" s="84">
        <v>0</v>
      </c>
      <c r="F1707" s="84">
        <v>0</v>
      </c>
      <c r="G1707" s="84">
        <v>0</v>
      </c>
      <c r="H1707" s="84">
        <v>0</v>
      </c>
      <c r="I1707" s="84"/>
      <c r="J1707" s="84">
        <v>0</v>
      </c>
      <c r="K1707" s="84">
        <v>0</v>
      </c>
      <c r="L1707" s="84">
        <v>0</v>
      </c>
      <c r="M1707" s="84">
        <v>0</v>
      </c>
      <c r="N1707" s="84">
        <v>0</v>
      </c>
    </row>
    <row r="1708" spans="1:14" x14ac:dyDescent="0.25">
      <c r="A1708" s="74" t="s">
        <v>4091</v>
      </c>
      <c r="B1708" s="74">
        <v>8742</v>
      </c>
      <c r="C1708" t="e">
        <f>VLOOKUP(B1708,'Waste Lookups'!$B$1:$C$292,2,FALSE)</f>
        <v>#N/A</v>
      </c>
      <c r="D1708" s="84">
        <v>7021.7672727272729</v>
      </c>
      <c r="E1708" s="84">
        <v>380.54181818181814</v>
      </c>
      <c r="F1708" s="84">
        <v>1522.0690909090908</v>
      </c>
      <c r="G1708" s="84">
        <v>0</v>
      </c>
      <c r="H1708" s="84">
        <v>0</v>
      </c>
      <c r="I1708" s="84"/>
      <c r="J1708" s="84">
        <v>7620.6786689370574</v>
      </c>
      <c r="K1708" s="84">
        <v>412.99957743121593</v>
      </c>
      <c r="L1708" s="84">
        <v>1651.8917536317274</v>
      </c>
      <c r="M1708" s="84">
        <v>0</v>
      </c>
      <c r="N1708" s="84">
        <v>0</v>
      </c>
    </row>
    <row r="1709" spans="1:14" x14ac:dyDescent="0.25">
      <c r="A1709" s="74" t="s">
        <v>775</v>
      </c>
      <c r="B1709" s="74">
        <v>8743</v>
      </c>
      <c r="C1709" t="str">
        <f>VLOOKUP(B1709,'Waste Lookups'!$B$1:$C$292,2,FALSE)</f>
        <v>Weybridge Hospital</v>
      </c>
      <c r="D1709" s="84">
        <v>14627.629090909091</v>
      </c>
      <c r="E1709" s="84">
        <v>7531.7236363636366</v>
      </c>
      <c r="F1709" s="84">
        <v>2078.8909090909092</v>
      </c>
      <c r="G1709" s="84">
        <v>0</v>
      </c>
      <c r="H1709" s="84">
        <v>0</v>
      </c>
      <c r="I1709" s="84"/>
      <c r="J1709" s="84">
        <v>16692.547223313661</v>
      </c>
      <c r="K1709" s="84">
        <v>8594.9439715478929</v>
      </c>
      <c r="L1709" s="84">
        <v>2372.3588051384463</v>
      </c>
      <c r="M1709" s="84">
        <v>0</v>
      </c>
      <c r="N1709" s="84">
        <v>0</v>
      </c>
    </row>
    <row r="1710" spans="1:14" x14ac:dyDescent="0.25">
      <c r="A1710" s="74" t="s">
        <v>4094</v>
      </c>
      <c r="B1710" s="74">
        <v>8744</v>
      </c>
      <c r="C1710" t="e">
        <f>VLOOKUP(B1710,'Waste Lookups'!$B$1:$C$292,2,FALSE)</f>
        <v>#N/A</v>
      </c>
      <c r="D1710" s="84">
        <v>0</v>
      </c>
      <c r="E1710" s="84">
        <v>247.30909090909091</v>
      </c>
      <c r="F1710" s="84">
        <v>0</v>
      </c>
      <c r="G1710" s="84">
        <v>0</v>
      </c>
      <c r="H1710" s="84">
        <v>0</v>
      </c>
      <c r="I1710" s="84"/>
      <c r="J1710" s="84">
        <v>0</v>
      </c>
      <c r="K1710" s="84">
        <v>415.14</v>
      </c>
      <c r="L1710" s="84">
        <v>0</v>
      </c>
      <c r="M1710" s="84">
        <v>0</v>
      </c>
      <c r="N1710" s="84">
        <v>0</v>
      </c>
    </row>
    <row r="1711" spans="1:14" x14ac:dyDescent="0.25">
      <c r="A1711" s="74" t="s">
        <v>4096</v>
      </c>
      <c r="B1711" s="74">
        <v>8745</v>
      </c>
      <c r="C1711" t="e">
        <f>VLOOKUP(B1711,'Waste Lookups'!$B$1:$C$292,2,FALSE)</f>
        <v>#N/A</v>
      </c>
      <c r="D1711" s="84">
        <v>23127.774545454544</v>
      </c>
      <c r="E1711" s="84">
        <v>22470.567272727272</v>
      </c>
      <c r="F1711" s="84">
        <v>3999.7418181818184</v>
      </c>
      <c r="G1711" s="84">
        <v>873.53454545454542</v>
      </c>
      <c r="H1711" s="84">
        <v>0</v>
      </c>
      <c r="I1711" s="84"/>
      <c r="J1711" s="84">
        <v>23840.204387509955</v>
      </c>
      <c r="K1711" s="84">
        <v>23162.752448674124</v>
      </c>
      <c r="L1711" s="84">
        <v>4122.9501894061796</v>
      </c>
      <c r="M1711" s="84">
        <v>900.44297440974026</v>
      </c>
      <c r="N1711" s="84">
        <v>0</v>
      </c>
    </row>
    <row r="1712" spans="1:14" x14ac:dyDescent="0.25">
      <c r="A1712" s="74" t="s">
        <v>4098</v>
      </c>
      <c r="B1712" s="74">
        <v>8751</v>
      </c>
      <c r="C1712" t="e">
        <f>VLOOKUP(B1712,'Waste Lookups'!$B$1:$C$292,2,FALSE)</f>
        <v>#N/A</v>
      </c>
      <c r="D1712" s="84">
        <v>0</v>
      </c>
      <c r="E1712" s="84">
        <v>0</v>
      </c>
      <c r="F1712" s="84">
        <v>2249.4109090909092</v>
      </c>
      <c r="G1712" s="84">
        <v>0</v>
      </c>
      <c r="H1712" s="84">
        <v>0</v>
      </c>
      <c r="I1712" s="84"/>
      <c r="J1712" s="84">
        <v>0</v>
      </c>
      <c r="K1712" s="84">
        <v>0</v>
      </c>
      <c r="L1712" s="84">
        <v>0</v>
      </c>
      <c r="M1712" s="84">
        <v>0</v>
      </c>
      <c r="N1712" s="84">
        <v>0</v>
      </c>
    </row>
    <row r="1713" spans="1:14" x14ac:dyDescent="0.25">
      <c r="A1713" s="74" t="s">
        <v>734</v>
      </c>
      <c r="B1713" s="74">
        <v>8756</v>
      </c>
      <c r="C1713" t="str">
        <f>VLOOKUP(B1713,'Waste Lookups'!$B$1:$C$292,2,FALSE)</f>
        <v>The Causeway</v>
      </c>
      <c r="D1713" s="84">
        <v>335.06181818181818</v>
      </c>
      <c r="E1713" s="84">
        <v>5724.8945454545456</v>
      </c>
      <c r="F1713" s="84">
        <v>0</v>
      </c>
      <c r="G1713" s="84">
        <v>622.90909090909088</v>
      </c>
      <c r="H1713" s="84">
        <v>4604.0290909090909</v>
      </c>
      <c r="I1713" s="84"/>
      <c r="J1713" s="84">
        <v>344.68793565248313</v>
      </c>
      <c r="K1713" s="84">
        <v>5889.3672021742996</v>
      </c>
      <c r="L1713" s="84">
        <v>0</v>
      </c>
      <c r="M1713" s="84">
        <v>640.8048813491173</v>
      </c>
      <c r="N1713" s="84">
        <v>4736.2999808240993</v>
      </c>
    </row>
    <row r="1714" spans="1:14" x14ac:dyDescent="0.25">
      <c r="A1714" s="74" t="s">
        <v>4101</v>
      </c>
      <c r="B1714" s="74">
        <v>8762</v>
      </c>
      <c r="C1714" t="e">
        <f>VLOOKUP(B1714,'Waste Lookups'!$B$1:$C$292,2,FALSE)</f>
        <v>#N/A</v>
      </c>
      <c r="D1714" s="84">
        <v>0</v>
      </c>
      <c r="E1714" s="84">
        <v>2164.1454545454544</v>
      </c>
      <c r="F1714" s="84">
        <v>712.60363636363638</v>
      </c>
      <c r="G1714" s="84">
        <v>0</v>
      </c>
      <c r="H1714" s="84">
        <v>0</v>
      </c>
      <c r="I1714" s="84"/>
      <c r="J1714" s="84">
        <v>0</v>
      </c>
      <c r="K1714" s="84">
        <v>1705.3554322682421</v>
      </c>
      <c r="L1714" s="84">
        <v>561.53456773175787</v>
      </c>
      <c r="M1714" s="84">
        <v>0</v>
      </c>
      <c r="N1714" s="84">
        <v>0</v>
      </c>
    </row>
    <row r="1715" spans="1:14" x14ac:dyDescent="0.25">
      <c r="A1715" s="74" t="s">
        <v>4103</v>
      </c>
      <c r="B1715" s="74">
        <v>8795</v>
      </c>
      <c r="C1715" t="e">
        <f>VLOOKUP(B1715,'Waste Lookups'!$B$1:$C$292,2,FALSE)</f>
        <v>#N/A</v>
      </c>
      <c r="D1715" s="84">
        <v>0</v>
      </c>
      <c r="E1715" s="84">
        <v>0</v>
      </c>
      <c r="F1715" s="84">
        <v>0</v>
      </c>
      <c r="G1715" s="84">
        <v>0</v>
      </c>
      <c r="H1715" s="84">
        <v>0</v>
      </c>
      <c r="I1715" s="84"/>
      <c r="J1715" s="84">
        <v>0</v>
      </c>
      <c r="K1715" s="84">
        <v>0</v>
      </c>
      <c r="L1715" s="84">
        <v>0</v>
      </c>
      <c r="M1715" s="84">
        <v>0</v>
      </c>
      <c r="N1715" s="84">
        <v>0</v>
      </c>
    </row>
    <row r="1716" spans="1:14" x14ac:dyDescent="0.25">
      <c r="A1716" s="74" t="s">
        <v>4105</v>
      </c>
      <c r="B1716" s="74">
        <v>8798</v>
      </c>
      <c r="C1716" t="e">
        <f>VLOOKUP(B1716,'Waste Lookups'!$B$1:$C$292,2,FALSE)</f>
        <v>#N/A</v>
      </c>
      <c r="D1716" s="84">
        <v>0</v>
      </c>
      <c r="E1716" s="84">
        <v>0</v>
      </c>
      <c r="F1716" s="84">
        <v>595.63636363636363</v>
      </c>
      <c r="G1716" s="84">
        <v>0</v>
      </c>
      <c r="H1716" s="84">
        <v>0</v>
      </c>
      <c r="I1716" s="84"/>
      <c r="J1716" s="84">
        <v>0</v>
      </c>
      <c r="K1716" s="84">
        <v>0</v>
      </c>
      <c r="L1716" s="84">
        <v>0</v>
      </c>
      <c r="M1716" s="84">
        <v>0</v>
      </c>
      <c r="N1716" s="84">
        <v>0</v>
      </c>
    </row>
    <row r="1717" spans="1:14" x14ac:dyDescent="0.25">
      <c r="A1717" s="74" t="s">
        <v>4107</v>
      </c>
      <c r="B1717" s="74">
        <v>8844</v>
      </c>
      <c r="C1717" t="e">
        <f>VLOOKUP(B1717,'Waste Lookups'!$B$1:$C$292,2,FALSE)</f>
        <v>#N/A</v>
      </c>
      <c r="D1717" s="84">
        <v>0</v>
      </c>
      <c r="E1717" s="84">
        <v>370.51636363636362</v>
      </c>
      <c r="F1717" s="84">
        <v>0</v>
      </c>
      <c r="G1717" s="84">
        <v>247.59272727272727</v>
      </c>
      <c r="H1717" s="84">
        <v>0</v>
      </c>
      <c r="I1717" s="84"/>
      <c r="J1717" s="84">
        <v>0</v>
      </c>
      <c r="K1717" s="84">
        <v>592.28995975997179</v>
      </c>
      <c r="L1717" s="84">
        <v>0</v>
      </c>
      <c r="M1717" s="84">
        <v>395.79004024002825</v>
      </c>
      <c r="N1717" s="84">
        <v>0</v>
      </c>
    </row>
    <row r="1718" spans="1:14" x14ac:dyDescent="0.25">
      <c r="A1718" s="74" t="s">
        <v>4109</v>
      </c>
      <c r="B1718" s="74">
        <v>8845</v>
      </c>
      <c r="C1718" t="e">
        <f>VLOOKUP(B1718,'Waste Lookups'!$B$1:$C$292,2,FALSE)</f>
        <v>#N/A</v>
      </c>
      <c r="D1718" s="84">
        <v>1012.5381818181818</v>
      </c>
      <c r="E1718" s="84">
        <v>1629.1854545454548</v>
      </c>
      <c r="F1718" s="84">
        <v>0</v>
      </c>
      <c r="G1718" s="84">
        <v>379.36363636363637</v>
      </c>
      <c r="H1718" s="84">
        <v>0</v>
      </c>
      <c r="I1718" s="84"/>
      <c r="J1718" s="84">
        <v>1455.3818802381802</v>
      </c>
      <c r="K1718" s="84">
        <v>2341.7260036904236</v>
      </c>
      <c r="L1718" s="84">
        <v>0</v>
      </c>
      <c r="M1718" s="84">
        <v>545.28211607139622</v>
      </c>
      <c r="N1718" s="84">
        <v>0</v>
      </c>
    </row>
    <row r="1719" spans="1:14" x14ac:dyDescent="0.25">
      <c r="A1719" s="74" t="s">
        <v>4111</v>
      </c>
      <c r="B1719" s="74">
        <v>8853</v>
      </c>
      <c r="C1719" t="e">
        <f>VLOOKUP(B1719,'Waste Lookups'!$B$1:$C$292,2,FALSE)</f>
        <v>#N/A</v>
      </c>
      <c r="D1719" s="84">
        <v>128.02909090909091</v>
      </c>
      <c r="E1719" s="84">
        <v>236.14909090909092</v>
      </c>
      <c r="F1719" s="84">
        <v>0</v>
      </c>
      <c r="G1719" s="84">
        <v>239.7381818181818</v>
      </c>
      <c r="H1719" s="84">
        <v>0</v>
      </c>
      <c r="I1719" s="84"/>
      <c r="J1719" s="84">
        <v>164.69280442204521</v>
      </c>
      <c r="K1719" s="84">
        <v>303.77514803374339</v>
      </c>
      <c r="L1719" s="84">
        <v>0</v>
      </c>
      <c r="M1719" s="84">
        <v>308.39204754421138</v>
      </c>
      <c r="N1719" s="84">
        <v>0</v>
      </c>
    </row>
    <row r="1720" spans="1:14" x14ac:dyDescent="0.25">
      <c r="A1720" s="74" t="s">
        <v>4113</v>
      </c>
      <c r="B1720" s="74">
        <v>8854</v>
      </c>
      <c r="C1720" t="e">
        <f>VLOOKUP(B1720,'Waste Lookups'!$B$1:$C$292,2,FALSE)</f>
        <v>#N/A</v>
      </c>
      <c r="D1720" s="84">
        <v>424.74545454545455</v>
      </c>
      <c r="E1720" s="84">
        <v>492.16363636363633</v>
      </c>
      <c r="F1720" s="84">
        <v>51.054545454545448</v>
      </c>
      <c r="G1720" s="84">
        <v>27.6</v>
      </c>
      <c r="H1720" s="84">
        <v>0</v>
      </c>
      <c r="I1720" s="84"/>
      <c r="J1720" s="84">
        <v>1124.2939886039885</v>
      </c>
      <c r="K1720" s="84">
        <v>1302.7487683541528</v>
      </c>
      <c r="L1720" s="84">
        <v>135.14051282051281</v>
      </c>
      <c r="M1720" s="84">
        <v>73.056730221345603</v>
      </c>
      <c r="N1720" s="84">
        <v>0</v>
      </c>
    </row>
    <row r="1721" spans="1:14" x14ac:dyDescent="0.25">
      <c r="A1721" s="74" t="s">
        <v>4115</v>
      </c>
      <c r="B1721" s="74">
        <v>8857</v>
      </c>
      <c r="C1721" t="e">
        <f>VLOOKUP(B1721,'Waste Lookups'!$B$1:$C$292,2,FALSE)</f>
        <v>#N/A</v>
      </c>
      <c r="D1721" s="84">
        <v>0</v>
      </c>
      <c r="E1721" s="84">
        <v>237.6109090909091</v>
      </c>
      <c r="F1721" s="84">
        <v>0</v>
      </c>
      <c r="G1721" s="84">
        <v>307.34181818181821</v>
      </c>
      <c r="H1721" s="84">
        <v>0</v>
      </c>
      <c r="I1721" s="84"/>
      <c r="J1721" s="84">
        <v>0</v>
      </c>
      <c r="K1721" s="84">
        <v>449.45059054329977</v>
      </c>
      <c r="L1721" s="84">
        <v>0</v>
      </c>
      <c r="M1721" s="84">
        <v>581.34940945670007</v>
      </c>
      <c r="N1721" s="84">
        <v>0</v>
      </c>
    </row>
    <row r="1722" spans="1:14" x14ac:dyDescent="0.25">
      <c r="A1722" s="74" t="s">
        <v>4117</v>
      </c>
      <c r="B1722" s="74">
        <v>8859</v>
      </c>
      <c r="C1722" t="e">
        <f>VLOOKUP(B1722,'Waste Lookups'!$B$1:$C$292,2,FALSE)</f>
        <v>#N/A</v>
      </c>
      <c r="D1722" s="84">
        <v>2393.9345454545455</v>
      </c>
      <c r="E1722" s="84">
        <v>2960.0618181818177</v>
      </c>
      <c r="F1722" s="84">
        <v>619.1672727272728</v>
      </c>
      <c r="G1722" s="84">
        <v>327.77454545454543</v>
      </c>
      <c r="H1722" s="84">
        <v>0</v>
      </c>
      <c r="I1722" s="84"/>
      <c r="J1722" s="84">
        <v>3867.934823697251</v>
      </c>
      <c r="K1722" s="84">
        <v>4782.6396125079209</v>
      </c>
      <c r="L1722" s="84">
        <v>1000.4027304851575</v>
      </c>
      <c r="M1722" s="84">
        <v>529.59283330967162</v>
      </c>
      <c r="N1722" s="84">
        <v>0</v>
      </c>
    </row>
    <row r="1723" spans="1:14" x14ac:dyDescent="0.25">
      <c r="A1723" s="74" t="s">
        <v>4119</v>
      </c>
      <c r="B1723" s="74">
        <v>8860</v>
      </c>
      <c r="C1723" t="e">
        <f>VLOOKUP(B1723,'Waste Lookups'!$B$1:$C$292,2,FALSE)</f>
        <v>#N/A</v>
      </c>
      <c r="D1723" s="84">
        <v>1051.5272727272727</v>
      </c>
      <c r="E1723" s="84">
        <v>351.04363636363638</v>
      </c>
      <c r="F1723" s="84">
        <v>0</v>
      </c>
      <c r="G1723" s="84">
        <v>193.15636363636366</v>
      </c>
      <c r="H1723" s="84">
        <v>0</v>
      </c>
      <c r="I1723" s="84"/>
      <c r="J1723" s="84">
        <v>980.57179627414109</v>
      </c>
      <c r="K1723" s="84">
        <v>327.35574055716972</v>
      </c>
      <c r="L1723" s="84">
        <v>0</v>
      </c>
      <c r="M1723" s="84">
        <v>180.12246316868914</v>
      </c>
      <c r="N1723" s="84">
        <v>0</v>
      </c>
    </row>
    <row r="1724" spans="1:14" x14ac:dyDescent="0.25">
      <c r="A1724" s="74" t="s">
        <v>4121</v>
      </c>
      <c r="B1724" s="74">
        <v>8862</v>
      </c>
      <c r="C1724" t="e">
        <f>VLOOKUP(B1724,'Waste Lookups'!$B$1:$C$292,2,FALSE)</f>
        <v>#N/A</v>
      </c>
      <c r="D1724" s="84">
        <v>0</v>
      </c>
      <c r="E1724" s="84">
        <v>199.66909090909093</v>
      </c>
      <c r="F1724" s="84">
        <v>0</v>
      </c>
      <c r="G1724" s="84">
        <v>109.96363636363637</v>
      </c>
      <c r="H1724" s="84">
        <v>0</v>
      </c>
      <c r="I1724" s="84"/>
      <c r="J1724" s="84">
        <v>0</v>
      </c>
      <c r="K1724" s="84">
        <v>432.98334636930565</v>
      </c>
      <c r="L1724" s="84">
        <v>0</v>
      </c>
      <c r="M1724" s="84">
        <v>238.45665363069449</v>
      </c>
      <c r="N1724" s="84">
        <v>0</v>
      </c>
    </row>
    <row r="1725" spans="1:14" x14ac:dyDescent="0.25">
      <c r="A1725" s="74" t="s">
        <v>4123</v>
      </c>
      <c r="B1725" s="74">
        <v>8867</v>
      </c>
      <c r="C1725" t="e">
        <f>VLOOKUP(B1725,'Waste Lookups'!$B$1:$C$292,2,FALSE)</f>
        <v>#N/A</v>
      </c>
      <c r="D1725" s="84">
        <v>0</v>
      </c>
      <c r="E1725" s="84">
        <v>85.767272727272726</v>
      </c>
      <c r="F1725" s="84">
        <v>0</v>
      </c>
      <c r="G1725" s="84">
        <v>0</v>
      </c>
      <c r="H1725" s="84">
        <v>0</v>
      </c>
      <c r="I1725" s="84"/>
      <c r="J1725" s="84">
        <v>0</v>
      </c>
      <c r="K1725" s="84">
        <v>78.62</v>
      </c>
      <c r="L1725" s="84">
        <v>0</v>
      </c>
      <c r="M1725" s="84">
        <v>0</v>
      </c>
      <c r="N1725" s="84">
        <v>0</v>
      </c>
    </row>
    <row r="1726" spans="1:14" x14ac:dyDescent="0.25">
      <c r="A1726" s="74" t="s">
        <v>4125</v>
      </c>
      <c r="B1726" s="74">
        <v>8869</v>
      </c>
      <c r="C1726" t="e">
        <f>VLOOKUP(B1726,'Waste Lookups'!$B$1:$C$292,2,FALSE)</f>
        <v>#N/A</v>
      </c>
      <c r="D1726" s="84">
        <v>0</v>
      </c>
      <c r="E1726" s="84">
        <v>0</v>
      </c>
      <c r="F1726" s="84">
        <v>32.770909090909093</v>
      </c>
      <c r="G1726" s="84">
        <v>0</v>
      </c>
      <c r="H1726" s="84">
        <v>0</v>
      </c>
      <c r="I1726" s="84"/>
      <c r="J1726" s="84">
        <v>0</v>
      </c>
      <c r="K1726" s="84">
        <v>0</v>
      </c>
      <c r="L1726" s="84">
        <v>0</v>
      </c>
      <c r="M1726" s="84">
        <v>0</v>
      </c>
      <c r="N1726" s="84">
        <v>0</v>
      </c>
    </row>
    <row r="1727" spans="1:14" x14ac:dyDescent="0.25">
      <c r="A1727" s="74" t="s">
        <v>4127</v>
      </c>
      <c r="B1727" s="74">
        <v>8870</v>
      </c>
      <c r="C1727" t="e">
        <f>VLOOKUP(B1727,'Waste Lookups'!$B$1:$C$292,2,FALSE)</f>
        <v>#N/A</v>
      </c>
      <c r="D1727" s="84">
        <v>0</v>
      </c>
      <c r="E1727" s="84">
        <v>515.66181818181815</v>
      </c>
      <c r="F1727" s="84">
        <v>0</v>
      </c>
      <c r="G1727" s="84">
        <v>0</v>
      </c>
      <c r="H1727" s="84">
        <v>0</v>
      </c>
      <c r="I1727" s="84"/>
      <c r="J1727" s="84">
        <v>0</v>
      </c>
      <c r="K1727" s="84">
        <v>1395.54</v>
      </c>
      <c r="L1727" s="84">
        <v>0</v>
      </c>
      <c r="M1727" s="84">
        <v>0</v>
      </c>
      <c r="N1727" s="84">
        <v>0</v>
      </c>
    </row>
    <row r="1728" spans="1:14" x14ac:dyDescent="0.25">
      <c r="A1728" s="74" t="s">
        <v>4129</v>
      </c>
      <c r="B1728" s="74">
        <v>8925</v>
      </c>
      <c r="C1728" t="e">
        <f>VLOOKUP(B1728,'Waste Lookups'!$B$1:$C$292,2,FALSE)</f>
        <v>#N/A</v>
      </c>
      <c r="D1728" s="84">
        <v>0</v>
      </c>
      <c r="E1728" s="84">
        <v>181.46181818181819</v>
      </c>
      <c r="F1728" s="84">
        <v>0</v>
      </c>
      <c r="G1728" s="84">
        <v>0</v>
      </c>
      <c r="H1728" s="84">
        <v>0</v>
      </c>
      <c r="I1728" s="84"/>
      <c r="J1728" s="84">
        <v>0</v>
      </c>
      <c r="K1728" s="84">
        <v>1145.52</v>
      </c>
      <c r="L1728" s="84">
        <v>0</v>
      </c>
      <c r="M1728" s="84">
        <v>0</v>
      </c>
      <c r="N1728" s="84">
        <v>0</v>
      </c>
    </row>
    <row r="1729" spans="1:14" x14ac:dyDescent="0.25">
      <c r="A1729" s="74" t="s">
        <v>4131</v>
      </c>
      <c r="B1729" s="74">
        <v>8938</v>
      </c>
      <c r="C1729" t="e">
        <f>VLOOKUP(B1729,'Waste Lookups'!$B$1:$C$292,2,FALSE)</f>
        <v>#N/A</v>
      </c>
      <c r="D1729" s="84">
        <v>0</v>
      </c>
      <c r="E1729" s="84">
        <v>2139.9381818181819</v>
      </c>
      <c r="F1729" s="84">
        <v>0</v>
      </c>
      <c r="G1729" s="84">
        <v>0</v>
      </c>
      <c r="H1729" s="84">
        <v>0</v>
      </c>
      <c r="I1729" s="84"/>
      <c r="J1729" s="84">
        <v>0</v>
      </c>
      <c r="K1729" s="84">
        <v>1743.87</v>
      </c>
      <c r="L1729" s="84">
        <v>0</v>
      </c>
      <c r="M1729" s="84">
        <v>0</v>
      </c>
      <c r="N1729" s="84">
        <v>0</v>
      </c>
    </row>
    <row r="1730" spans="1:14" x14ac:dyDescent="0.25">
      <c r="A1730" s="74" t="s">
        <v>4133</v>
      </c>
      <c r="B1730" s="74">
        <v>8961</v>
      </c>
      <c r="C1730" t="e">
        <f>VLOOKUP(B1730,'Waste Lookups'!$B$1:$C$292,2,FALSE)</f>
        <v>#N/A</v>
      </c>
      <c r="D1730" s="84">
        <v>470.54181818181814</v>
      </c>
      <c r="E1730" s="84">
        <v>0</v>
      </c>
      <c r="F1730" s="84">
        <v>0</v>
      </c>
      <c r="G1730" s="84">
        <v>0</v>
      </c>
      <c r="H1730" s="84">
        <v>0</v>
      </c>
      <c r="I1730" s="84"/>
      <c r="J1730" s="84">
        <v>773.93</v>
      </c>
      <c r="K1730" s="84">
        <v>0</v>
      </c>
      <c r="L1730" s="84">
        <v>0</v>
      </c>
      <c r="M1730" s="84">
        <v>0</v>
      </c>
      <c r="N1730" s="84">
        <v>0</v>
      </c>
    </row>
    <row r="1731" spans="1:14" x14ac:dyDescent="0.25">
      <c r="A1731" s="74" t="s">
        <v>4135</v>
      </c>
      <c r="B1731" s="74">
        <v>8963</v>
      </c>
      <c r="C1731" t="e">
        <f>VLOOKUP(B1731,'Waste Lookups'!$B$1:$C$292,2,FALSE)</f>
        <v>#N/A</v>
      </c>
      <c r="D1731" s="84">
        <v>993.79636363636359</v>
      </c>
      <c r="E1731" s="84">
        <v>1407.7636363636364</v>
      </c>
      <c r="F1731" s="84">
        <v>0</v>
      </c>
      <c r="G1731" s="84">
        <v>0</v>
      </c>
      <c r="H1731" s="84">
        <v>0</v>
      </c>
      <c r="I1731" s="84"/>
      <c r="J1731" s="84">
        <v>1193.1134560717351</v>
      </c>
      <c r="K1731" s="84">
        <v>1690.1065439282645</v>
      </c>
      <c r="L1731" s="84">
        <v>0</v>
      </c>
      <c r="M1731" s="84">
        <v>0</v>
      </c>
      <c r="N1731" s="84">
        <v>0</v>
      </c>
    </row>
    <row r="1732" spans="1:14" x14ac:dyDescent="0.25">
      <c r="A1732" s="74" t="s">
        <v>4137</v>
      </c>
      <c r="B1732" s="74">
        <v>8964</v>
      </c>
      <c r="C1732" t="e">
        <f>VLOOKUP(B1732,'Waste Lookups'!$B$1:$C$292,2,FALSE)</f>
        <v>#N/A</v>
      </c>
      <c r="D1732" s="84">
        <v>1472.64</v>
      </c>
      <c r="E1732" s="84">
        <v>814.6581818181819</v>
      </c>
      <c r="F1732" s="84">
        <v>0</v>
      </c>
      <c r="G1732" s="84">
        <v>0</v>
      </c>
      <c r="H1732" s="84">
        <v>0</v>
      </c>
      <c r="I1732" s="84"/>
      <c r="J1732" s="84">
        <v>1284.1910020079267</v>
      </c>
      <c r="K1732" s="84">
        <v>710.4089979920733</v>
      </c>
      <c r="L1732" s="84">
        <v>0</v>
      </c>
      <c r="M1732" s="84">
        <v>0</v>
      </c>
      <c r="N1732" s="84">
        <v>0</v>
      </c>
    </row>
    <row r="1733" spans="1:14" x14ac:dyDescent="0.25">
      <c r="A1733" s="74" t="s">
        <v>4139</v>
      </c>
      <c r="B1733" s="74">
        <v>8965</v>
      </c>
      <c r="C1733" t="e">
        <f>VLOOKUP(B1733,'Waste Lookups'!$B$1:$C$292,2,FALSE)</f>
        <v>#N/A</v>
      </c>
      <c r="D1733" s="84">
        <v>0</v>
      </c>
      <c r="E1733" s="84">
        <v>1098.72</v>
      </c>
      <c r="F1733" s="84">
        <v>0</v>
      </c>
      <c r="G1733" s="84">
        <v>0</v>
      </c>
      <c r="H1733" s="84">
        <v>0</v>
      </c>
      <c r="I1733" s="84"/>
      <c r="J1733" s="84">
        <v>0</v>
      </c>
      <c r="K1733" s="84">
        <v>1213.76</v>
      </c>
      <c r="L1733" s="84">
        <v>0</v>
      </c>
      <c r="M1733" s="84">
        <v>0</v>
      </c>
      <c r="N1733" s="84">
        <v>0</v>
      </c>
    </row>
    <row r="1734" spans="1:14" x14ac:dyDescent="0.25">
      <c r="A1734" s="74" t="s">
        <v>4141</v>
      </c>
      <c r="B1734" s="74">
        <v>8967</v>
      </c>
      <c r="C1734" t="e">
        <f>VLOOKUP(B1734,'Waste Lookups'!$B$1:$C$292,2,FALSE)</f>
        <v>#N/A</v>
      </c>
      <c r="D1734" s="84">
        <v>1770.3054545454547</v>
      </c>
      <c r="E1734" s="84">
        <v>1472.2909090909091</v>
      </c>
      <c r="F1734" s="84">
        <v>0</v>
      </c>
      <c r="G1734" s="84">
        <v>0</v>
      </c>
      <c r="H1734" s="84">
        <v>0</v>
      </c>
      <c r="I1734" s="84"/>
      <c r="J1734" s="84">
        <v>2630.0907203654988</v>
      </c>
      <c r="K1734" s="84">
        <v>2187.3392796345015</v>
      </c>
      <c r="L1734" s="84">
        <v>0</v>
      </c>
      <c r="M1734" s="84">
        <v>0</v>
      </c>
      <c r="N1734" s="84">
        <v>0</v>
      </c>
    </row>
    <row r="1735" spans="1:14" x14ac:dyDescent="0.25">
      <c r="A1735" s="74" t="s">
        <v>4143</v>
      </c>
      <c r="B1735" s="74">
        <v>8969</v>
      </c>
      <c r="C1735" t="e">
        <f>VLOOKUP(B1735,'Waste Lookups'!$B$1:$C$292,2,FALSE)</f>
        <v>#N/A</v>
      </c>
      <c r="D1735" s="84">
        <v>659.34545454545457</v>
      </c>
      <c r="E1735" s="84">
        <v>893.4545454545455</v>
      </c>
      <c r="F1735" s="84">
        <v>0</v>
      </c>
      <c r="G1735" s="84">
        <v>0</v>
      </c>
      <c r="H1735" s="84">
        <v>0</v>
      </c>
      <c r="I1735" s="84"/>
      <c r="J1735" s="84">
        <v>755.20701419137276</v>
      </c>
      <c r="K1735" s="84">
        <v>1023.3529858086272</v>
      </c>
      <c r="L1735" s="84">
        <v>0</v>
      </c>
      <c r="M1735" s="84">
        <v>0</v>
      </c>
      <c r="N1735" s="84">
        <v>0</v>
      </c>
    </row>
    <row r="1736" spans="1:14" x14ac:dyDescent="0.25">
      <c r="A1736" s="74" t="s">
        <v>4145</v>
      </c>
      <c r="B1736" s="74">
        <v>8970</v>
      </c>
      <c r="C1736" t="e">
        <f>VLOOKUP(B1736,'Waste Lookups'!$B$1:$C$292,2,FALSE)</f>
        <v>#N/A</v>
      </c>
      <c r="D1736" s="84">
        <v>0</v>
      </c>
      <c r="E1736" s="84">
        <v>429.6109090909091</v>
      </c>
      <c r="F1736" s="84">
        <v>0</v>
      </c>
      <c r="G1736" s="84">
        <v>0</v>
      </c>
      <c r="H1736" s="84">
        <v>0</v>
      </c>
      <c r="I1736" s="84"/>
      <c r="J1736" s="84">
        <v>0</v>
      </c>
      <c r="K1736" s="84">
        <v>232.42</v>
      </c>
      <c r="L1736" s="84">
        <v>0</v>
      </c>
      <c r="M1736" s="84">
        <v>0</v>
      </c>
      <c r="N1736" s="84">
        <v>0</v>
      </c>
    </row>
    <row r="1737" spans="1:14" x14ac:dyDescent="0.25">
      <c r="A1737" s="74" t="s">
        <v>4147</v>
      </c>
      <c r="B1737" s="74">
        <v>8971</v>
      </c>
      <c r="C1737" t="e">
        <f>VLOOKUP(B1737,'Waste Lookups'!$B$1:$C$292,2,FALSE)</f>
        <v>#N/A</v>
      </c>
      <c r="D1737" s="84">
        <v>0</v>
      </c>
      <c r="E1737" s="84">
        <v>119.71636363636364</v>
      </c>
      <c r="F1737" s="84">
        <v>0</v>
      </c>
      <c r="G1737" s="84">
        <v>0</v>
      </c>
      <c r="H1737" s="84">
        <v>0</v>
      </c>
      <c r="I1737" s="84"/>
      <c r="J1737" s="84">
        <v>0</v>
      </c>
      <c r="K1737" s="84">
        <v>387.37</v>
      </c>
      <c r="L1737" s="84">
        <v>0</v>
      </c>
      <c r="M1737" s="84">
        <v>0</v>
      </c>
      <c r="N1737" s="84">
        <v>0</v>
      </c>
    </row>
    <row r="1738" spans="1:14" x14ac:dyDescent="0.25">
      <c r="A1738" s="74" t="s">
        <v>4149</v>
      </c>
      <c r="B1738" s="74">
        <v>8976</v>
      </c>
      <c r="C1738" t="e">
        <f>VLOOKUP(B1738,'Waste Lookups'!$B$1:$C$292,2,FALSE)</f>
        <v>#N/A</v>
      </c>
      <c r="D1738" s="84">
        <v>1252.5163636363638</v>
      </c>
      <c r="E1738" s="84">
        <v>3432.1745454545453</v>
      </c>
      <c r="F1738" s="84">
        <v>488.29090909090917</v>
      </c>
      <c r="G1738" s="84">
        <v>0</v>
      </c>
      <c r="H1738" s="84">
        <v>2513.4545454545455</v>
      </c>
      <c r="I1738" s="84"/>
      <c r="J1738" s="84">
        <v>6802.198685476661</v>
      </c>
      <c r="K1738" s="84">
        <v>18639.543449665762</v>
      </c>
      <c r="L1738" s="84">
        <v>2651.8230630579492</v>
      </c>
      <c r="M1738" s="84">
        <v>0</v>
      </c>
      <c r="N1738" s="84">
        <v>13650.134801799628</v>
      </c>
    </row>
    <row r="1739" spans="1:14" x14ac:dyDescent="0.25">
      <c r="A1739" s="74" t="s">
        <v>4151</v>
      </c>
      <c r="B1739" s="74">
        <v>8978</v>
      </c>
      <c r="C1739" t="e">
        <f>VLOOKUP(B1739,'Waste Lookups'!$B$1:$C$292,2,FALSE)</f>
        <v>#N/A</v>
      </c>
      <c r="D1739" s="84">
        <v>957.91636363636371</v>
      </c>
      <c r="E1739" s="84">
        <v>844.29818181818177</v>
      </c>
      <c r="F1739" s="84">
        <v>0</v>
      </c>
      <c r="G1739" s="84">
        <v>0</v>
      </c>
      <c r="H1739" s="84">
        <v>0</v>
      </c>
      <c r="I1739" s="84"/>
      <c r="J1739" s="84">
        <v>1016.290989630939</v>
      </c>
      <c r="K1739" s="84">
        <v>895.74901036906101</v>
      </c>
      <c r="L1739" s="84">
        <v>0</v>
      </c>
      <c r="M1739" s="84">
        <v>0</v>
      </c>
      <c r="N1739" s="84">
        <v>0</v>
      </c>
    </row>
    <row r="1740" spans="1:14" x14ac:dyDescent="0.25">
      <c r="A1740" s="74" t="s">
        <v>778</v>
      </c>
      <c r="B1740" s="74">
        <v>8981</v>
      </c>
      <c r="C1740" t="str">
        <f>VLOOKUP(B1740,'Waste Lookups'!$B$1:$C$292,2,FALSE)</f>
        <v>St James' Hospital</v>
      </c>
      <c r="D1740" s="84">
        <v>0</v>
      </c>
      <c r="E1740" s="84">
        <v>18306.981818181819</v>
      </c>
      <c r="F1740" s="84">
        <v>0</v>
      </c>
      <c r="G1740" s="84">
        <v>0</v>
      </c>
      <c r="H1740" s="84">
        <v>0</v>
      </c>
      <c r="I1740" s="84"/>
      <c r="J1740" s="84">
        <v>0</v>
      </c>
      <c r="K1740" s="84">
        <v>2552.8200000000002</v>
      </c>
      <c r="L1740" s="84">
        <v>0</v>
      </c>
      <c r="M1740" s="84">
        <v>0</v>
      </c>
      <c r="N1740" s="84">
        <v>0</v>
      </c>
    </row>
    <row r="1741" spans="1:14" x14ac:dyDescent="0.25">
      <c r="A1741" s="74" t="s">
        <v>4154</v>
      </c>
      <c r="B1741" s="74">
        <v>8983</v>
      </c>
      <c r="C1741" t="e">
        <f>VLOOKUP(B1741,'Waste Lookups'!$B$1:$C$292,2,FALSE)</f>
        <v>#N/A</v>
      </c>
      <c r="D1741" s="84">
        <v>693.9818181818182</v>
      </c>
      <c r="E1741" s="84">
        <v>549.36</v>
      </c>
      <c r="F1741" s="84">
        <v>0</v>
      </c>
      <c r="G1741" s="84">
        <v>0</v>
      </c>
      <c r="H1741" s="84">
        <v>0</v>
      </c>
      <c r="I1741" s="84"/>
      <c r="J1741" s="84">
        <v>808.67679582006258</v>
      </c>
      <c r="K1741" s="84">
        <v>640.15320417993723</v>
      </c>
      <c r="L1741" s="84">
        <v>0</v>
      </c>
      <c r="M1741" s="84">
        <v>0</v>
      </c>
      <c r="N1741" s="84">
        <v>0</v>
      </c>
    </row>
    <row r="1742" spans="1:14" x14ac:dyDescent="0.25">
      <c r="A1742" s="74" t="s">
        <v>4156</v>
      </c>
      <c r="B1742" s="74">
        <v>8993</v>
      </c>
      <c r="C1742" t="e">
        <f>VLOOKUP(B1742,'Waste Lookups'!$B$1:$C$292,2,FALSE)</f>
        <v>#N/A</v>
      </c>
      <c r="D1742" s="84">
        <v>2294.3345454545452</v>
      </c>
      <c r="E1742" s="84">
        <v>1510.2763636363636</v>
      </c>
      <c r="F1742" s="84">
        <v>0</v>
      </c>
      <c r="G1742" s="84">
        <v>0</v>
      </c>
      <c r="H1742" s="84">
        <v>0</v>
      </c>
      <c r="I1742" s="84"/>
      <c r="J1742" s="84">
        <v>1495.0339384555391</v>
      </c>
      <c r="K1742" s="84">
        <v>984.12606154446087</v>
      </c>
      <c r="L1742" s="84">
        <v>0</v>
      </c>
      <c r="M1742" s="84">
        <v>0</v>
      </c>
      <c r="N1742" s="84">
        <v>0</v>
      </c>
    </row>
    <row r="1743" spans="1:14" x14ac:dyDescent="0.25">
      <c r="A1743" s="74" t="s">
        <v>4158</v>
      </c>
      <c r="B1743" s="74">
        <v>8994</v>
      </c>
      <c r="C1743" t="e">
        <f>VLOOKUP(B1743,'Waste Lookups'!$B$1:$C$292,2,FALSE)</f>
        <v>#N/A</v>
      </c>
      <c r="D1743" s="84">
        <v>782.66181818181826</v>
      </c>
      <c r="E1743" s="84">
        <v>1319.0072727272727</v>
      </c>
      <c r="F1743" s="84">
        <v>0</v>
      </c>
      <c r="G1743" s="84">
        <v>0</v>
      </c>
      <c r="H1743" s="84">
        <v>0</v>
      </c>
      <c r="I1743" s="84"/>
      <c r="J1743" s="84">
        <v>981.74725999595114</v>
      </c>
      <c r="K1743" s="84">
        <v>1654.5227400040485</v>
      </c>
      <c r="L1743" s="84">
        <v>0</v>
      </c>
      <c r="M1743" s="84">
        <v>0</v>
      </c>
      <c r="N1743" s="84">
        <v>0</v>
      </c>
    </row>
    <row r="1744" spans="1:14" x14ac:dyDescent="0.25">
      <c r="A1744" s="74" t="s">
        <v>4160</v>
      </c>
      <c r="B1744" s="74">
        <v>8995</v>
      </c>
      <c r="C1744" t="e">
        <f>VLOOKUP(B1744,'Waste Lookups'!$B$1:$C$292,2,FALSE)</f>
        <v>#N/A</v>
      </c>
      <c r="D1744" s="84">
        <v>59.443636363636372</v>
      </c>
      <c r="E1744" s="84">
        <v>157.2981818181818</v>
      </c>
      <c r="F1744" s="84">
        <v>0</v>
      </c>
      <c r="G1744" s="84">
        <v>0</v>
      </c>
      <c r="H1744" s="84">
        <v>0</v>
      </c>
      <c r="I1744" s="84"/>
      <c r="J1744" s="84">
        <v>513.763248943024</v>
      </c>
      <c r="K1744" s="84">
        <v>1359.5067510569759</v>
      </c>
      <c r="L1744" s="84">
        <v>0</v>
      </c>
      <c r="M1744" s="84">
        <v>0</v>
      </c>
      <c r="N1744" s="84">
        <v>0</v>
      </c>
    </row>
    <row r="1745" spans="1:14" x14ac:dyDescent="0.25">
      <c r="A1745" s="74" t="s">
        <v>4162</v>
      </c>
      <c r="B1745" s="74">
        <v>8996</v>
      </c>
      <c r="C1745" t="e">
        <f>VLOOKUP(B1745,'Waste Lookups'!$B$1:$C$292,2,FALSE)</f>
        <v>#N/A</v>
      </c>
      <c r="D1745" s="84">
        <v>2196.3054545454547</v>
      </c>
      <c r="E1745" s="84">
        <v>1984.4727272727273</v>
      </c>
      <c r="F1745" s="84">
        <v>0</v>
      </c>
      <c r="G1745" s="84">
        <v>0</v>
      </c>
      <c r="H1745" s="84">
        <v>0</v>
      </c>
      <c r="I1745" s="84"/>
      <c r="J1745" s="84">
        <v>2209.7234432911141</v>
      </c>
      <c r="K1745" s="84">
        <v>1996.5965567088856</v>
      </c>
      <c r="L1745" s="84">
        <v>0</v>
      </c>
      <c r="M1745" s="84">
        <v>0</v>
      </c>
      <c r="N1745" s="84">
        <v>0</v>
      </c>
    </row>
    <row r="1746" spans="1:14" x14ac:dyDescent="0.25">
      <c r="A1746" s="74" t="s">
        <v>4164</v>
      </c>
      <c r="B1746" s="74">
        <v>8999</v>
      </c>
      <c r="C1746" t="e">
        <f>VLOOKUP(B1746,'Waste Lookups'!$B$1:$C$292,2,FALSE)</f>
        <v>#N/A</v>
      </c>
      <c r="D1746" s="84">
        <v>795.03272727272724</v>
      </c>
      <c r="E1746" s="84">
        <v>932.79272727272723</v>
      </c>
      <c r="F1746" s="84">
        <v>0</v>
      </c>
      <c r="G1746" s="84">
        <v>0</v>
      </c>
      <c r="H1746" s="84">
        <v>0</v>
      </c>
      <c r="I1746" s="84"/>
      <c r="J1746" s="84">
        <v>761.946520860693</v>
      </c>
      <c r="K1746" s="84">
        <v>893.97347913930696</v>
      </c>
      <c r="L1746" s="84">
        <v>0</v>
      </c>
      <c r="M1746" s="84">
        <v>0</v>
      </c>
      <c r="N1746" s="84">
        <v>0</v>
      </c>
    </row>
    <row r="1747" spans="1:14" x14ac:dyDescent="0.25">
      <c r="A1747" s="74" t="s">
        <v>739</v>
      </c>
      <c r="B1747" s="74">
        <v>9000</v>
      </c>
      <c r="C1747" t="str">
        <f>VLOOKUP(B1747,'Waste Lookups'!$B$1:$C$292,2,FALSE)</f>
        <v>Oakley Road PCT Headquarters</v>
      </c>
      <c r="D1747" s="84">
        <v>0</v>
      </c>
      <c r="E1747" s="84">
        <v>4009.5054545454545</v>
      </c>
      <c r="F1747" s="84">
        <v>0</v>
      </c>
      <c r="G1747" s="84">
        <v>1139.7163636363637</v>
      </c>
      <c r="H1747" s="84">
        <v>0</v>
      </c>
      <c r="I1747" s="84"/>
      <c r="J1747" s="84">
        <v>0</v>
      </c>
      <c r="K1747" s="84">
        <v>7151.3757040922692</v>
      </c>
      <c r="L1747" s="84">
        <v>0</v>
      </c>
      <c r="M1747" s="84">
        <v>2032.8042959077313</v>
      </c>
      <c r="N1747" s="84">
        <v>0</v>
      </c>
    </row>
    <row r="1748" spans="1:14" x14ac:dyDescent="0.25">
      <c r="A1748" s="74" t="s">
        <v>4167</v>
      </c>
      <c r="B1748" s="74">
        <v>9005</v>
      </c>
      <c r="C1748" t="e">
        <f>VLOOKUP(B1748,'Waste Lookups'!$B$1:$C$292,2,FALSE)</f>
        <v>#N/A</v>
      </c>
      <c r="D1748" s="84">
        <v>2377.92</v>
      </c>
      <c r="E1748" s="84">
        <v>1182.2181818181818</v>
      </c>
      <c r="F1748" s="84">
        <v>0</v>
      </c>
      <c r="G1748" s="84">
        <v>0</v>
      </c>
      <c r="H1748" s="84">
        <v>0</v>
      </c>
      <c r="I1748" s="84"/>
      <c r="J1748" s="84">
        <v>1566.1335078720133</v>
      </c>
      <c r="K1748" s="84">
        <v>778.62649212798692</v>
      </c>
      <c r="L1748" s="84">
        <v>0</v>
      </c>
      <c r="M1748" s="84">
        <v>0</v>
      </c>
      <c r="N1748" s="84">
        <v>0</v>
      </c>
    </row>
    <row r="1749" spans="1:14" x14ac:dyDescent="0.25">
      <c r="A1749" s="74" t="s">
        <v>4169</v>
      </c>
      <c r="B1749" s="74">
        <v>9007</v>
      </c>
      <c r="C1749" t="e">
        <f>VLOOKUP(B1749,'Waste Lookups'!$B$1:$C$292,2,FALSE)</f>
        <v>#N/A</v>
      </c>
      <c r="D1749" s="84">
        <v>466.58181818181822</v>
      </c>
      <c r="E1749" s="84">
        <v>40.363636363636367</v>
      </c>
      <c r="F1749" s="84">
        <v>0</v>
      </c>
      <c r="G1749" s="84">
        <v>9.3818181818181809</v>
      </c>
      <c r="H1749" s="84">
        <v>0</v>
      </c>
      <c r="I1749" s="84"/>
      <c r="J1749" s="84">
        <v>922.8036403972111</v>
      </c>
      <c r="K1749" s="84">
        <v>79.83103739699979</v>
      </c>
      <c r="L1749" s="84">
        <v>0</v>
      </c>
      <c r="M1749" s="84">
        <v>18.555322205789139</v>
      </c>
      <c r="N1749" s="84">
        <v>0</v>
      </c>
    </row>
    <row r="1750" spans="1:14" x14ac:dyDescent="0.25">
      <c r="A1750" s="74" t="s">
        <v>4171</v>
      </c>
      <c r="B1750" s="74">
        <v>9016</v>
      </c>
      <c r="C1750" t="e">
        <f>VLOOKUP(B1750,'Waste Lookups'!$B$1:$C$292,2,FALSE)</f>
        <v>#N/A</v>
      </c>
      <c r="D1750" s="84">
        <v>9895.7345454545448</v>
      </c>
      <c r="E1750" s="84">
        <v>22384.876363636366</v>
      </c>
      <c r="F1750" s="84">
        <v>0</v>
      </c>
      <c r="G1750" s="84">
        <v>0</v>
      </c>
      <c r="H1750" s="84">
        <v>0</v>
      </c>
      <c r="I1750" s="84"/>
      <c r="J1750" s="84">
        <v>9368.8147678989517</v>
      </c>
      <c r="K1750" s="84">
        <v>21192.94523210105</v>
      </c>
      <c r="L1750" s="84">
        <v>0</v>
      </c>
      <c r="M1750" s="84">
        <v>0</v>
      </c>
      <c r="N1750" s="84">
        <v>0</v>
      </c>
    </row>
    <row r="1751" spans="1:14" x14ac:dyDescent="0.25">
      <c r="A1751" s="74" t="s">
        <v>649</v>
      </c>
      <c r="B1751" s="74">
        <v>9026</v>
      </c>
      <c r="C1751" t="str">
        <f>VLOOKUP(B1751,'Waste Lookups'!$B$1:$C$292,2,FALSE)</f>
        <v>Southgate House</v>
      </c>
      <c r="D1751" s="84">
        <v>0</v>
      </c>
      <c r="E1751" s="84">
        <v>5061.6000000000004</v>
      </c>
      <c r="F1751" s="84">
        <v>0</v>
      </c>
      <c r="G1751" s="84">
        <v>4448.2254545454543</v>
      </c>
      <c r="H1751" s="84">
        <v>4308.8727272727274</v>
      </c>
      <c r="I1751" s="84"/>
      <c r="J1751" s="84">
        <v>0</v>
      </c>
      <c r="K1751" s="84">
        <v>4280.2203899222714</v>
      </c>
      <c r="L1751" s="84">
        <v>0</v>
      </c>
      <c r="M1751" s="84">
        <v>3761.5349473519673</v>
      </c>
      <c r="N1751" s="84">
        <v>3643.6946627257616</v>
      </c>
    </row>
    <row r="1752" spans="1:14" x14ac:dyDescent="0.25">
      <c r="A1752" s="74" t="s">
        <v>4174</v>
      </c>
      <c r="B1752" s="74">
        <v>9057</v>
      </c>
      <c r="C1752" t="e">
        <f>VLOOKUP(B1752,'Waste Lookups'!$B$1:$C$292,2,FALSE)</f>
        <v>#N/A</v>
      </c>
      <c r="D1752" s="84">
        <v>2627.9672727272723</v>
      </c>
      <c r="E1752" s="84">
        <v>15703.374545454546</v>
      </c>
      <c r="F1752" s="84">
        <v>0</v>
      </c>
      <c r="G1752" s="84">
        <v>0</v>
      </c>
      <c r="H1752" s="84">
        <v>0</v>
      </c>
      <c r="I1752" s="84"/>
      <c r="J1752" s="84">
        <v>3132.7334704913724</v>
      </c>
      <c r="K1752" s="84">
        <v>18719.596529508628</v>
      </c>
      <c r="L1752" s="84">
        <v>0</v>
      </c>
      <c r="M1752" s="84">
        <v>0</v>
      </c>
      <c r="N1752" s="84">
        <v>0</v>
      </c>
    </row>
    <row r="1753" spans="1:14" x14ac:dyDescent="0.25">
      <c r="A1753" s="74" t="s">
        <v>4176</v>
      </c>
      <c r="B1753" s="74">
        <v>9058</v>
      </c>
      <c r="C1753" t="e">
        <f>VLOOKUP(B1753,'Waste Lookups'!$B$1:$C$292,2,FALSE)</f>
        <v>#N/A</v>
      </c>
      <c r="D1753" s="84">
        <v>1267.0581818181818</v>
      </c>
      <c r="E1753" s="84">
        <v>2105.9345454545455</v>
      </c>
      <c r="F1753" s="84">
        <v>0</v>
      </c>
      <c r="G1753" s="84">
        <v>0</v>
      </c>
      <c r="H1753" s="84">
        <v>0</v>
      </c>
      <c r="I1753" s="84"/>
      <c r="J1753" s="84">
        <v>1232.5989605777659</v>
      </c>
      <c r="K1753" s="84">
        <v>2048.6610394222344</v>
      </c>
      <c r="L1753" s="84">
        <v>0</v>
      </c>
      <c r="M1753" s="84">
        <v>0</v>
      </c>
      <c r="N1753" s="84">
        <v>0</v>
      </c>
    </row>
    <row r="1754" spans="1:14" x14ac:dyDescent="0.25">
      <c r="A1754" s="74" t="s">
        <v>4178</v>
      </c>
      <c r="B1754" s="74">
        <v>9059</v>
      </c>
      <c r="C1754" t="e">
        <f>VLOOKUP(B1754,'Waste Lookups'!$B$1:$C$292,2,FALSE)</f>
        <v>#N/A</v>
      </c>
      <c r="D1754" s="84">
        <v>1089.96</v>
      </c>
      <c r="E1754" s="84">
        <v>1084.6145454545456</v>
      </c>
      <c r="F1754" s="84">
        <v>0</v>
      </c>
      <c r="G1754" s="84">
        <v>0</v>
      </c>
      <c r="H1754" s="84">
        <v>0</v>
      </c>
      <c r="I1754" s="84"/>
      <c r="J1754" s="84">
        <v>982.28369060280113</v>
      </c>
      <c r="K1754" s="84">
        <v>977.46630939719864</v>
      </c>
      <c r="L1754" s="84">
        <v>0</v>
      </c>
      <c r="M1754" s="84">
        <v>0</v>
      </c>
      <c r="N1754" s="84">
        <v>0</v>
      </c>
    </row>
    <row r="1755" spans="1:14" x14ac:dyDescent="0.25">
      <c r="A1755" s="74" t="s">
        <v>736</v>
      </c>
      <c r="B1755" s="74">
        <v>9061</v>
      </c>
      <c r="C1755" t="str">
        <f>VLOOKUP(B1755,'Waste Lookups'!$B$1:$C$292,2,FALSE)</f>
        <v>Coitbury House</v>
      </c>
      <c r="D1755" s="84">
        <v>0</v>
      </c>
      <c r="E1755" s="84">
        <v>1621.2109090909089</v>
      </c>
      <c r="F1755" s="84">
        <v>0</v>
      </c>
      <c r="G1755" s="84">
        <v>0</v>
      </c>
      <c r="H1755" s="84">
        <v>0</v>
      </c>
      <c r="I1755" s="84"/>
      <c r="J1755" s="84">
        <v>0</v>
      </c>
      <c r="K1755" s="84">
        <v>2154.08</v>
      </c>
      <c r="L1755" s="84">
        <v>0</v>
      </c>
      <c r="M1755" s="84">
        <v>0</v>
      </c>
      <c r="N1755" s="84">
        <v>0</v>
      </c>
    </row>
    <row r="1756" spans="1:14" x14ac:dyDescent="0.25">
      <c r="A1756" s="74" t="s">
        <v>4181</v>
      </c>
      <c r="B1756" s="74">
        <v>9063</v>
      </c>
      <c r="C1756" t="e">
        <f>VLOOKUP(B1756,'Waste Lookups'!$B$1:$C$292,2,FALSE)</f>
        <v>#N/A</v>
      </c>
      <c r="D1756" s="84">
        <v>1479.8181818181818</v>
      </c>
      <c r="E1756" s="84">
        <v>1240.6254545454547</v>
      </c>
      <c r="F1756" s="84">
        <v>0</v>
      </c>
      <c r="G1756" s="84">
        <v>0</v>
      </c>
      <c r="H1756" s="84">
        <v>0</v>
      </c>
      <c r="I1756" s="84"/>
      <c r="J1756" s="84">
        <v>1854.3667343026939</v>
      </c>
      <c r="K1756" s="84">
        <v>1554.6332656973061</v>
      </c>
      <c r="L1756" s="84">
        <v>0</v>
      </c>
      <c r="M1756" s="84">
        <v>0</v>
      </c>
      <c r="N1756" s="84">
        <v>0</v>
      </c>
    </row>
    <row r="1757" spans="1:14" x14ac:dyDescent="0.25">
      <c r="A1757" s="74" t="s">
        <v>4183</v>
      </c>
      <c r="B1757" s="74">
        <v>9064</v>
      </c>
      <c r="C1757" t="e">
        <f>VLOOKUP(B1757,'Waste Lookups'!$B$1:$C$292,2,FALSE)</f>
        <v>#N/A</v>
      </c>
      <c r="D1757" s="84">
        <v>218.90181818181819</v>
      </c>
      <c r="E1757" s="84">
        <v>1098.72</v>
      </c>
      <c r="F1757" s="84">
        <v>0</v>
      </c>
      <c r="G1757" s="84">
        <v>0</v>
      </c>
      <c r="H1757" s="84">
        <v>0</v>
      </c>
      <c r="I1757" s="84"/>
      <c r="J1757" s="84">
        <v>263.10479657564866</v>
      </c>
      <c r="K1757" s="84">
        <v>1320.5852034243512</v>
      </c>
      <c r="L1757" s="84">
        <v>0</v>
      </c>
      <c r="M1757" s="84">
        <v>0</v>
      </c>
      <c r="N1757" s="84">
        <v>0</v>
      </c>
    </row>
    <row r="1758" spans="1:14" x14ac:dyDescent="0.25">
      <c r="A1758" s="74" t="s">
        <v>4185</v>
      </c>
      <c r="B1758" s="74">
        <v>9065</v>
      </c>
      <c r="C1758" t="e">
        <f>VLOOKUP(B1758,'Waste Lookups'!$B$1:$C$292,2,FALSE)</f>
        <v>#N/A</v>
      </c>
      <c r="D1758" s="84">
        <v>2128.8436363636365</v>
      </c>
      <c r="E1758" s="84">
        <v>2664.2618181818179</v>
      </c>
      <c r="F1758" s="84">
        <v>0</v>
      </c>
      <c r="G1758" s="84">
        <v>0</v>
      </c>
      <c r="H1758" s="84">
        <v>0</v>
      </c>
      <c r="I1758" s="84"/>
      <c r="J1758" s="84">
        <v>2862.8119757469826</v>
      </c>
      <c r="K1758" s="84">
        <v>3582.8280242530182</v>
      </c>
      <c r="L1758" s="84">
        <v>0</v>
      </c>
      <c r="M1758" s="84">
        <v>0</v>
      </c>
      <c r="N1758" s="84">
        <v>0</v>
      </c>
    </row>
    <row r="1759" spans="1:14" x14ac:dyDescent="0.25">
      <c r="A1759" s="74" t="s">
        <v>4187</v>
      </c>
      <c r="B1759" s="74">
        <v>9068</v>
      </c>
      <c r="C1759" t="e">
        <f>VLOOKUP(B1759,'Waste Lookups'!$B$1:$C$292,2,FALSE)</f>
        <v>#N/A</v>
      </c>
      <c r="D1759" s="84">
        <v>3204.3818181818178</v>
      </c>
      <c r="E1759" s="84">
        <v>3169.32</v>
      </c>
      <c r="F1759" s="84">
        <v>0</v>
      </c>
      <c r="G1759" s="84">
        <v>0</v>
      </c>
      <c r="H1759" s="84">
        <v>0</v>
      </c>
      <c r="I1759" s="84"/>
      <c r="J1759" s="84">
        <v>3312.2259152665952</v>
      </c>
      <c r="K1759" s="84">
        <v>3275.9840847334044</v>
      </c>
      <c r="L1759" s="84">
        <v>0</v>
      </c>
      <c r="M1759" s="84">
        <v>0</v>
      </c>
      <c r="N1759" s="84">
        <v>0</v>
      </c>
    </row>
    <row r="1760" spans="1:14" x14ac:dyDescent="0.25">
      <c r="A1760" s="74" t="s">
        <v>4189</v>
      </c>
      <c r="B1760" s="74">
        <v>9069</v>
      </c>
      <c r="C1760" t="e">
        <f>VLOOKUP(B1760,'Waste Lookups'!$B$1:$C$292,2,FALSE)</f>
        <v>#N/A</v>
      </c>
      <c r="D1760" s="84">
        <v>0</v>
      </c>
      <c r="E1760" s="84">
        <v>0</v>
      </c>
      <c r="F1760" s="84">
        <v>0</v>
      </c>
      <c r="G1760" s="84">
        <v>0</v>
      </c>
      <c r="H1760" s="84">
        <v>155.8909090909091</v>
      </c>
      <c r="I1760" s="84"/>
      <c r="J1760" s="84">
        <v>0</v>
      </c>
      <c r="K1760" s="84">
        <v>0</v>
      </c>
      <c r="L1760" s="84">
        <v>0</v>
      </c>
      <c r="M1760" s="84">
        <v>0</v>
      </c>
      <c r="N1760" s="84">
        <v>2466.2199999999998</v>
      </c>
    </row>
    <row r="1761" spans="1:14" x14ac:dyDescent="0.25">
      <c r="A1761" s="74" t="s">
        <v>4191</v>
      </c>
      <c r="B1761" s="74">
        <v>9072</v>
      </c>
      <c r="C1761" t="e">
        <f>VLOOKUP(B1761,'Waste Lookups'!$B$1:$C$292,2,FALSE)</f>
        <v>#N/A</v>
      </c>
      <c r="D1761" s="84">
        <v>1172.5745454545454</v>
      </c>
      <c r="E1761" s="84">
        <v>1600.3745454545456</v>
      </c>
      <c r="F1761" s="84">
        <v>0</v>
      </c>
      <c r="G1761" s="84">
        <v>0</v>
      </c>
      <c r="H1761" s="84">
        <v>0</v>
      </c>
      <c r="I1761" s="84"/>
      <c r="J1761" s="84">
        <v>1302.190562145192</v>
      </c>
      <c r="K1761" s="84">
        <v>1777.2794378548076</v>
      </c>
      <c r="L1761" s="84">
        <v>0</v>
      </c>
      <c r="M1761" s="84">
        <v>0</v>
      </c>
      <c r="N1761" s="84">
        <v>0</v>
      </c>
    </row>
    <row r="1762" spans="1:14" x14ac:dyDescent="0.25">
      <c r="A1762" s="74" t="s">
        <v>4193</v>
      </c>
      <c r="B1762" s="74">
        <v>9074</v>
      </c>
      <c r="C1762" t="e">
        <f>VLOOKUP(B1762,'Waste Lookups'!$B$1:$C$292,2,FALSE)</f>
        <v>#N/A</v>
      </c>
      <c r="D1762" s="84">
        <v>2890.221818181818</v>
      </c>
      <c r="E1762" s="84">
        <v>3276.5781818181822</v>
      </c>
      <c r="F1762" s="84">
        <v>0</v>
      </c>
      <c r="G1762" s="84">
        <v>0</v>
      </c>
      <c r="H1762" s="84">
        <v>0</v>
      </c>
      <c r="I1762" s="84"/>
      <c r="J1762" s="84">
        <v>3315.1924080560416</v>
      </c>
      <c r="K1762" s="84">
        <v>3758.3575919439581</v>
      </c>
      <c r="L1762" s="84">
        <v>0</v>
      </c>
      <c r="M1762" s="84">
        <v>0</v>
      </c>
      <c r="N1762" s="84">
        <v>0</v>
      </c>
    </row>
    <row r="1763" spans="1:14" x14ac:dyDescent="0.25">
      <c r="A1763" s="74" t="s">
        <v>4195</v>
      </c>
      <c r="B1763" s="74">
        <v>9075</v>
      </c>
      <c r="C1763" t="e">
        <f>VLOOKUP(B1763,'Waste Lookups'!$B$1:$C$292,2,FALSE)</f>
        <v>#N/A</v>
      </c>
      <c r="D1763" s="84">
        <v>2971.1236363636367</v>
      </c>
      <c r="E1763" s="84">
        <v>1997.28</v>
      </c>
      <c r="F1763" s="84">
        <v>0</v>
      </c>
      <c r="G1763" s="84">
        <v>0</v>
      </c>
      <c r="H1763" s="84">
        <v>0</v>
      </c>
      <c r="I1763" s="84"/>
      <c r="J1763" s="84">
        <v>3601.7103576784498</v>
      </c>
      <c r="K1763" s="84">
        <v>2421.1796423215505</v>
      </c>
      <c r="L1763" s="84">
        <v>0</v>
      </c>
      <c r="M1763" s="84">
        <v>0</v>
      </c>
      <c r="N1763" s="84">
        <v>0</v>
      </c>
    </row>
    <row r="1764" spans="1:14" x14ac:dyDescent="0.25">
      <c r="A1764" s="74" t="s">
        <v>4197</v>
      </c>
      <c r="B1764" s="74">
        <v>9076</v>
      </c>
      <c r="C1764" t="e">
        <f>VLOOKUP(B1764,'Waste Lookups'!$B$1:$C$292,2,FALSE)</f>
        <v>#N/A</v>
      </c>
      <c r="D1764" s="84">
        <v>1147.6581818181819</v>
      </c>
      <c r="E1764" s="84">
        <v>3151.1018181818185</v>
      </c>
      <c r="F1764" s="84">
        <v>0</v>
      </c>
      <c r="G1764" s="84">
        <v>0</v>
      </c>
      <c r="H1764" s="84">
        <v>0</v>
      </c>
      <c r="I1764" s="84"/>
      <c r="J1764" s="84">
        <v>1676.7824363220177</v>
      </c>
      <c r="K1764" s="84">
        <v>4603.9075636779826</v>
      </c>
      <c r="L1764" s="84">
        <v>0</v>
      </c>
      <c r="M1764" s="84">
        <v>0</v>
      </c>
      <c r="N1764" s="84">
        <v>0</v>
      </c>
    </row>
    <row r="1765" spans="1:14" x14ac:dyDescent="0.25">
      <c r="A1765" s="74" t="s">
        <v>4199</v>
      </c>
      <c r="B1765" s="74">
        <v>9077</v>
      </c>
      <c r="C1765" t="e">
        <f>VLOOKUP(B1765,'Waste Lookups'!$B$1:$C$292,2,FALSE)</f>
        <v>#N/A</v>
      </c>
      <c r="D1765" s="84">
        <v>1300.4290909090907</v>
      </c>
      <c r="E1765" s="84">
        <v>1183.2436363636364</v>
      </c>
      <c r="F1765" s="84">
        <v>0</v>
      </c>
      <c r="G1765" s="84">
        <v>0</v>
      </c>
      <c r="H1765" s="84">
        <v>0</v>
      </c>
      <c r="I1765" s="84"/>
      <c r="J1765" s="84">
        <v>1253.5348384064655</v>
      </c>
      <c r="K1765" s="84">
        <v>1140.5751615935346</v>
      </c>
      <c r="L1765" s="84">
        <v>0</v>
      </c>
      <c r="M1765" s="84">
        <v>0</v>
      </c>
      <c r="N1765" s="84">
        <v>0</v>
      </c>
    </row>
    <row r="1766" spans="1:14" x14ac:dyDescent="0.25">
      <c r="A1766" s="74" t="s">
        <v>4201</v>
      </c>
      <c r="B1766" s="74">
        <v>9078</v>
      </c>
      <c r="C1766" t="e">
        <f>VLOOKUP(B1766,'Waste Lookups'!$B$1:$C$292,2,FALSE)</f>
        <v>#N/A</v>
      </c>
      <c r="D1766" s="84">
        <v>1579.6690909090908</v>
      </c>
      <c r="E1766" s="84">
        <v>1496.2145454545455</v>
      </c>
      <c r="F1766" s="84">
        <v>0</v>
      </c>
      <c r="G1766" s="84">
        <v>0</v>
      </c>
      <c r="H1766" s="84">
        <v>0</v>
      </c>
      <c r="I1766" s="84"/>
      <c r="J1766" s="84">
        <v>1790.1522265530789</v>
      </c>
      <c r="K1766" s="84">
        <v>1695.5777734469209</v>
      </c>
      <c r="L1766" s="84">
        <v>0</v>
      </c>
      <c r="M1766" s="84">
        <v>0</v>
      </c>
      <c r="N1766" s="84">
        <v>0</v>
      </c>
    </row>
    <row r="1767" spans="1:14" x14ac:dyDescent="0.25">
      <c r="A1767" s="74" t="s">
        <v>4203</v>
      </c>
      <c r="B1767" s="74">
        <v>9080</v>
      </c>
      <c r="C1767" t="e">
        <f>VLOOKUP(B1767,'Waste Lookups'!$B$1:$C$292,2,FALSE)</f>
        <v>#N/A</v>
      </c>
      <c r="D1767" s="84">
        <v>1075.5054545454545</v>
      </c>
      <c r="E1767" s="84">
        <v>2524.4727272727273</v>
      </c>
      <c r="F1767" s="84">
        <v>0</v>
      </c>
      <c r="G1767" s="84">
        <v>0</v>
      </c>
      <c r="H1767" s="84">
        <v>0</v>
      </c>
      <c r="I1767" s="84"/>
      <c r="J1767" s="84">
        <v>1274.021607646107</v>
      </c>
      <c r="K1767" s="84">
        <v>2990.4383923538931</v>
      </c>
      <c r="L1767" s="84">
        <v>0</v>
      </c>
      <c r="M1767" s="84">
        <v>0</v>
      </c>
      <c r="N1767" s="84">
        <v>0</v>
      </c>
    </row>
    <row r="1768" spans="1:14" x14ac:dyDescent="0.25">
      <c r="A1768" s="74" t="s">
        <v>4205</v>
      </c>
      <c r="B1768" s="74">
        <v>9081</v>
      </c>
      <c r="C1768" t="e">
        <f>VLOOKUP(B1768,'Waste Lookups'!$B$1:$C$292,2,FALSE)</f>
        <v>#N/A</v>
      </c>
      <c r="D1768" s="84">
        <v>1066.56</v>
      </c>
      <c r="E1768" s="84">
        <v>1183.7890909090911</v>
      </c>
      <c r="F1768" s="84">
        <v>0</v>
      </c>
      <c r="G1768" s="84">
        <v>0</v>
      </c>
      <c r="H1768" s="84">
        <v>0</v>
      </c>
      <c r="I1768" s="84"/>
      <c r="J1768" s="84">
        <v>1226.9272126506432</v>
      </c>
      <c r="K1768" s="84">
        <v>1361.7827873493568</v>
      </c>
      <c r="L1768" s="84">
        <v>0</v>
      </c>
      <c r="M1768" s="84">
        <v>0</v>
      </c>
      <c r="N1768" s="84">
        <v>0</v>
      </c>
    </row>
    <row r="1769" spans="1:14" x14ac:dyDescent="0.25">
      <c r="A1769" s="74" t="s">
        <v>737</v>
      </c>
      <c r="B1769" s="74">
        <v>9083</v>
      </c>
      <c r="C1769" t="str">
        <f>VLOOKUP(B1769,'Waste Lookups'!$B$1:$C$292,2,FALSE)</f>
        <v>Omega House</v>
      </c>
      <c r="D1769" s="84">
        <v>1319.3127272727272</v>
      </c>
      <c r="E1769" s="84">
        <v>2469.9163636363637</v>
      </c>
      <c r="F1769" s="84">
        <v>0</v>
      </c>
      <c r="G1769" s="84">
        <v>0</v>
      </c>
      <c r="H1769" s="84">
        <v>1114.1454545454544</v>
      </c>
      <c r="I1769" s="84"/>
      <c r="J1769" s="84">
        <v>3825.7523273322718</v>
      </c>
      <c r="K1769" s="84">
        <v>7162.2808460518481</v>
      </c>
      <c r="L1769" s="84">
        <v>0</v>
      </c>
      <c r="M1769" s="84">
        <v>0</v>
      </c>
      <c r="N1769" s="84">
        <v>3230.8068266158816</v>
      </c>
    </row>
    <row r="1770" spans="1:14" x14ac:dyDescent="0.25">
      <c r="A1770" s="74" t="s">
        <v>4208</v>
      </c>
      <c r="B1770" s="74">
        <v>9085</v>
      </c>
      <c r="C1770" t="e">
        <f>VLOOKUP(B1770,'Waste Lookups'!$B$1:$C$292,2,FALSE)</f>
        <v>#N/A</v>
      </c>
      <c r="D1770" s="84">
        <v>889.36363636363626</v>
      </c>
      <c r="E1770" s="84">
        <v>1098.72</v>
      </c>
      <c r="F1770" s="84">
        <v>0</v>
      </c>
      <c r="G1770" s="84">
        <v>0</v>
      </c>
      <c r="H1770" s="84">
        <v>0</v>
      </c>
      <c r="I1770" s="84"/>
      <c r="J1770" s="84">
        <v>1124.6979480468171</v>
      </c>
      <c r="K1770" s="84">
        <v>1389.4520519531829</v>
      </c>
      <c r="L1770" s="84">
        <v>0</v>
      </c>
      <c r="M1770" s="84">
        <v>0</v>
      </c>
      <c r="N1770" s="84">
        <v>0</v>
      </c>
    </row>
    <row r="1771" spans="1:14" x14ac:dyDescent="0.25">
      <c r="A1771" s="74" t="s">
        <v>738</v>
      </c>
      <c r="B1771" s="74">
        <v>9086</v>
      </c>
      <c r="C1771" t="str">
        <f>VLOOKUP(B1771,'Waste Lookups'!$B$1:$C$292,2,FALSE)</f>
        <v>PPSA - Winnal Store</v>
      </c>
      <c r="D1771" s="84">
        <v>0</v>
      </c>
      <c r="E1771" s="84">
        <v>550.63636363636363</v>
      </c>
      <c r="F1771" s="84">
        <v>0</v>
      </c>
      <c r="G1771" s="84">
        <v>0</v>
      </c>
      <c r="H1771" s="84">
        <v>0</v>
      </c>
      <c r="I1771" s="84"/>
      <c r="J1771" s="84">
        <v>0</v>
      </c>
      <c r="K1771" s="84">
        <v>605.71</v>
      </c>
      <c r="L1771" s="84">
        <v>0</v>
      </c>
      <c r="M1771" s="84">
        <v>0</v>
      </c>
      <c r="N1771" s="84">
        <v>0</v>
      </c>
    </row>
    <row r="1772" spans="1:14" x14ac:dyDescent="0.25">
      <c r="A1772" s="74" t="s">
        <v>4211</v>
      </c>
      <c r="B1772" s="74">
        <v>9088</v>
      </c>
      <c r="C1772" t="e">
        <f>VLOOKUP(B1772,'Waste Lookups'!$B$1:$C$292,2,FALSE)</f>
        <v>#N/A</v>
      </c>
      <c r="D1772" s="84">
        <v>1589.8472727272724</v>
      </c>
      <c r="E1772" s="84">
        <v>1633.9309090909092</v>
      </c>
      <c r="F1772" s="84">
        <v>0</v>
      </c>
      <c r="G1772" s="84">
        <v>0</v>
      </c>
      <c r="H1772" s="84">
        <v>0</v>
      </c>
      <c r="I1772" s="84"/>
      <c r="J1772" s="84">
        <v>1274.209222606112</v>
      </c>
      <c r="K1772" s="84">
        <v>1309.540777393888</v>
      </c>
      <c r="L1772" s="84">
        <v>0</v>
      </c>
      <c r="M1772" s="84">
        <v>0</v>
      </c>
      <c r="N1772" s="84">
        <v>0</v>
      </c>
    </row>
    <row r="1773" spans="1:14" x14ac:dyDescent="0.25">
      <c r="A1773" s="74" t="s">
        <v>4213</v>
      </c>
      <c r="B1773" s="74">
        <v>9094</v>
      </c>
      <c r="C1773" t="e">
        <f>VLOOKUP(B1773,'Waste Lookups'!$B$1:$C$292,2,FALSE)</f>
        <v>#N/A</v>
      </c>
      <c r="D1773" s="84">
        <v>92.792727272727276</v>
      </c>
      <c r="E1773" s="84">
        <v>1265.4218181818183</v>
      </c>
      <c r="F1773" s="84">
        <v>0</v>
      </c>
      <c r="G1773" s="84">
        <v>0</v>
      </c>
      <c r="H1773" s="84">
        <v>463.9636363636364</v>
      </c>
      <c r="I1773" s="84"/>
      <c r="J1773" s="84">
        <v>190.00432118204188</v>
      </c>
      <c r="K1773" s="84">
        <v>2591.104072907749</v>
      </c>
      <c r="L1773" s="84">
        <v>0</v>
      </c>
      <c r="M1773" s="84">
        <v>0</v>
      </c>
      <c r="N1773" s="84">
        <v>950.02160591020947</v>
      </c>
    </row>
    <row r="1774" spans="1:14" x14ac:dyDescent="0.25">
      <c r="A1774" s="74" t="s">
        <v>4215</v>
      </c>
      <c r="B1774" s="74">
        <v>9095</v>
      </c>
      <c r="C1774" t="e">
        <f>VLOOKUP(B1774,'Waste Lookups'!$B$1:$C$292,2,FALSE)</f>
        <v>#N/A</v>
      </c>
      <c r="D1774" s="84">
        <v>1152.5454545454545</v>
      </c>
      <c r="E1774" s="84">
        <v>1997.650909090909</v>
      </c>
      <c r="F1774" s="84">
        <v>0</v>
      </c>
      <c r="G1774" s="84">
        <v>0</v>
      </c>
      <c r="H1774" s="84">
        <v>0</v>
      </c>
      <c r="I1774" s="84"/>
      <c r="J1774" s="84">
        <v>1403.7823737394726</v>
      </c>
      <c r="K1774" s="84">
        <v>2433.1076262605275</v>
      </c>
      <c r="L1774" s="84">
        <v>0</v>
      </c>
      <c r="M1774" s="84">
        <v>0</v>
      </c>
      <c r="N1774" s="84">
        <v>0</v>
      </c>
    </row>
    <row r="1775" spans="1:14" x14ac:dyDescent="0.25">
      <c r="A1775" s="74" t="s">
        <v>4217</v>
      </c>
      <c r="B1775" s="74">
        <v>9096</v>
      </c>
      <c r="C1775" t="e">
        <f>VLOOKUP(B1775,'Waste Lookups'!$B$1:$C$292,2,FALSE)</f>
        <v>#N/A</v>
      </c>
      <c r="D1775" s="84">
        <v>2685.6981818181816</v>
      </c>
      <c r="E1775" s="84">
        <v>1482.0872727272726</v>
      </c>
      <c r="F1775" s="84">
        <v>0</v>
      </c>
      <c r="G1775" s="84">
        <v>0</v>
      </c>
      <c r="H1775" s="84">
        <v>0</v>
      </c>
      <c r="I1775" s="84"/>
      <c r="J1775" s="84">
        <v>1962.8773138383501</v>
      </c>
      <c r="K1775" s="84">
        <v>1083.2026861616505</v>
      </c>
      <c r="L1775" s="84">
        <v>0</v>
      </c>
      <c r="M1775" s="84">
        <v>0</v>
      </c>
      <c r="N1775" s="84">
        <v>0</v>
      </c>
    </row>
    <row r="1776" spans="1:14" x14ac:dyDescent="0.25">
      <c r="A1776" s="74" t="s">
        <v>4219</v>
      </c>
      <c r="B1776" s="74">
        <v>9097</v>
      </c>
      <c r="C1776" t="e">
        <f>VLOOKUP(B1776,'Waste Lookups'!$B$1:$C$292,2,FALSE)</f>
        <v>#N/A</v>
      </c>
      <c r="D1776" s="84">
        <v>2395.778181818182</v>
      </c>
      <c r="E1776" s="84">
        <v>1389.0763636363636</v>
      </c>
      <c r="F1776" s="84">
        <v>0</v>
      </c>
      <c r="G1776" s="84">
        <v>0</v>
      </c>
      <c r="H1776" s="84">
        <v>0</v>
      </c>
      <c r="I1776" s="84"/>
      <c r="J1776" s="84">
        <v>2354.1118488233005</v>
      </c>
      <c r="K1776" s="84">
        <v>1364.9181511766994</v>
      </c>
      <c r="L1776" s="84">
        <v>0</v>
      </c>
      <c r="M1776" s="84">
        <v>0</v>
      </c>
      <c r="N1776" s="84">
        <v>0</v>
      </c>
    </row>
    <row r="1777" spans="1:14" x14ac:dyDescent="0.25">
      <c r="A1777" s="74" t="s">
        <v>4221</v>
      </c>
      <c r="B1777" s="74">
        <v>9098</v>
      </c>
      <c r="C1777" t="e">
        <f>VLOOKUP(B1777,'Waste Lookups'!$B$1:$C$292,2,FALSE)</f>
        <v>#N/A</v>
      </c>
      <c r="D1777" s="84">
        <v>0</v>
      </c>
      <c r="E1777" s="84">
        <v>745.98545454545456</v>
      </c>
      <c r="F1777" s="84">
        <v>0</v>
      </c>
      <c r="G1777" s="84">
        <v>0</v>
      </c>
      <c r="H1777" s="84">
        <v>15.938181818181818</v>
      </c>
      <c r="I1777" s="84"/>
      <c r="J1777" s="84">
        <v>0</v>
      </c>
      <c r="K1777" s="84">
        <v>1521.9922228426612</v>
      </c>
      <c r="L1777" s="84">
        <v>0</v>
      </c>
      <c r="M1777" s="84">
        <v>0</v>
      </c>
      <c r="N1777" s="84">
        <v>32.5177771573386</v>
      </c>
    </row>
    <row r="1778" spans="1:14" x14ac:dyDescent="0.25">
      <c r="A1778" s="74" t="s">
        <v>4223</v>
      </c>
      <c r="B1778" s="74">
        <v>9100</v>
      </c>
      <c r="C1778" t="e">
        <f>VLOOKUP(B1778,'Waste Lookups'!$B$1:$C$292,2,FALSE)</f>
        <v>#N/A</v>
      </c>
      <c r="D1778" s="84">
        <v>15131.018181818183</v>
      </c>
      <c r="E1778" s="84">
        <v>0</v>
      </c>
      <c r="F1778" s="84">
        <v>0</v>
      </c>
      <c r="G1778" s="84">
        <v>0</v>
      </c>
      <c r="H1778" s="84">
        <v>0</v>
      </c>
      <c r="I1778" s="84"/>
      <c r="J1778" s="84">
        <v>14181.32</v>
      </c>
      <c r="K1778" s="84">
        <v>0</v>
      </c>
      <c r="L1778" s="84">
        <v>0</v>
      </c>
      <c r="M1778" s="84">
        <v>0</v>
      </c>
      <c r="N1778" s="84">
        <v>0</v>
      </c>
    </row>
    <row r="1779" spans="1:14" x14ac:dyDescent="0.25">
      <c r="A1779" s="74" t="s">
        <v>4225</v>
      </c>
      <c r="B1779" s="74">
        <v>9101</v>
      </c>
      <c r="C1779" t="e">
        <f>VLOOKUP(B1779,'Waste Lookups'!$B$1:$C$292,2,FALSE)</f>
        <v>#N/A</v>
      </c>
      <c r="D1779" s="84">
        <v>653.17090909090905</v>
      </c>
      <c r="E1779" s="84">
        <v>2570.3781818181815</v>
      </c>
      <c r="F1779" s="84">
        <v>0</v>
      </c>
      <c r="G1779" s="84">
        <v>0</v>
      </c>
      <c r="H1779" s="84">
        <v>0</v>
      </c>
      <c r="I1779" s="84"/>
      <c r="J1779" s="84">
        <v>716.04150846723439</v>
      </c>
      <c r="K1779" s="84">
        <v>2817.7884915327654</v>
      </c>
      <c r="L1779" s="84">
        <v>0</v>
      </c>
      <c r="M1779" s="84">
        <v>0</v>
      </c>
      <c r="N1779" s="84">
        <v>0</v>
      </c>
    </row>
    <row r="1780" spans="1:14" x14ac:dyDescent="0.25">
      <c r="A1780" s="74" t="s">
        <v>4227</v>
      </c>
      <c r="B1780" s="74">
        <v>9102</v>
      </c>
      <c r="C1780" t="e">
        <f>VLOOKUP(B1780,'Waste Lookups'!$B$1:$C$292,2,FALSE)</f>
        <v>#N/A</v>
      </c>
      <c r="D1780" s="84">
        <v>0</v>
      </c>
      <c r="E1780" s="84">
        <v>1776.0327272727272</v>
      </c>
      <c r="F1780" s="84">
        <v>0</v>
      </c>
      <c r="G1780" s="84">
        <v>0</v>
      </c>
      <c r="H1780" s="84">
        <v>154.45090909090911</v>
      </c>
      <c r="I1780" s="84"/>
      <c r="J1780" s="84">
        <v>0</v>
      </c>
      <c r="K1780" s="84">
        <v>3192.9484341747616</v>
      </c>
      <c r="L1780" s="84">
        <v>0</v>
      </c>
      <c r="M1780" s="84">
        <v>0</v>
      </c>
      <c r="N1780" s="84">
        <v>277.6715658252383</v>
      </c>
    </row>
    <row r="1781" spans="1:14" x14ac:dyDescent="0.25">
      <c r="A1781" s="74" t="s">
        <v>4229</v>
      </c>
      <c r="B1781" s="74">
        <v>9103</v>
      </c>
      <c r="C1781" t="e">
        <f>VLOOKUP(B1781,'Waste Lookups'!$B$1:$C$292,2,FALSE)</f>
        <v>#N/A</v>
      </c>
      <c r="D1781" s="84">
        <v>1602.0654545454545</v>
      </c>
      <c r="E1781" s="84">
        <v>2208.338181818182</v>
      </c>
      <c r="F1781" s="84">
        <v>0</v>
      </c>
      <c r="G1781" s="84">
        <v>0</v>
      </c>
      <c r="H1781" s="84">
        <v>0</v>
      </c>
      <c r="I1781" s="84"/>
      <c r="J1781" s="84">
        <v>2906.3266024787636</v>
      </c>
      <c r="K1781" s="84">
        <v>4006.1733975212364</v>
      </c>
      <c r="L1781" s="84">
        <v>0</v>
      </c>
      <c r="M1781" s="84">
        <v>0</v>
      </c>
      <c r="N1781" s="84">
        <v>0</v>
      </c>
    </row>
    <row r="1782" spans="1:14" x14ac:dyDescent="0.25">
      <c r="A1782" s="74" t="s">
        <v>4231</v>
      </c>
      <c r="B1782" s="74">
        <v>9104</v>
      </c>
      <c r="C1782" t="e">
        <f>VLOOKUP(B1782,'Waste Lookups'!$B$1:$C$292,2,FALSE)</f>
        <v>#N/A</v>
      </c>
      <c r="D1782" s="84">
        <v>458.26909090909089</v>
      </c>
      <c r="E1782" s="84">
        <v>745.96363636363628</v>
      </c>
      <c r="F1782" s="84">
        <v>0</v>
      </c>
      <c r="G1782" s="84">
        <v>0</v>
      </c>
      <c r="H1782" s="84">
        <v>0</v>
      </c>
      <c r="I1782" s="84"/>
      <c r="J1782" s="84">
        <v>501.55926296336565</v>
      </c>
      <c r="K1782" s="84">
        <v>816.43073703663447</v>
      </c>
      <c r="L1782" s="84">
        <v>0</v>
      </c>
      <c r="M1782" s="84">
        <v>0</v>
      </c>
      <c r="N1782" s="84">
        <v>0</v>
      </c>
    </row>
    <row r="1783" spans="1:14" x14ac:dyDescent="0.25">
      <c r="A1783" s="74" t="s">
        <v>4233</v>
      </c>
      <c r="B1783" s="74">
        <v>9106</v>
      </c>
      <c r="C1783" t="e">
        <f>VLOOKUP(B1783,'Waste Lookups'!$B$1:$C$292,2,FALSE)</f>
        <v>#N/A</v>
      </c>
      <c r="D1783" s="84">
        <v>0</v>
      </c>
      <c r="E1783" s="84">
        <v>0</v>
      </c>
      <c r="F1783" s="84">
        <v>0</v>
      </c>
      <c r="G1783" s="84">
        <v>0</v>
      </c>
      <c r="H1783" s="84">
        <v>0</v>
      </c>
      <c r="I1783" s="84"/>
      <c r="J1783" s="84">
        <v>0</v>
      </c>
      <c r="K1783" s="84">
        <v>0</v>
      </c>
      <c r="L1783" s="84">
        <v>0</v>
      </c>
      <c r="M1783" s="84">
        <v>0</v>
      </c>
      <c r="N1783" s="84">
        <v>0</v>
      </c>
    </row>
    <row r="1784" spans="1:14" x14ac:dyDescent="0.25">
      <c r="A1784" s="74" t="s">
        <v>748</v>
      </c>
      <c r="B1784" s="74">
        <v>9122</v>
      </c>
      <c r="C1784" t="str">
        <f>VLOOKUP(B1784,'Waste Lookups'!$B$1:$C$292,2,FALSE)</f>
        <v>St Chads Court</v>
      </c>
      <c r="D1784" s="84">
        <v>10360.996363636363</v>
      </c>
      <c r="E1784" s="84">
        <v>1006.8981818181818</v>
      </c>
      <c r="F1784" s="84">
        <v>0</v>
      </c>
      <c r="G1784" s="84">
        <v>1238.8145454545454</v>
      </c>
      <c r="H1784" s="84">
        <v>6919.1018181818181</v>
      </c>
      <c r="I1784" s="84"/>
      <c r="J1784" s="84">
        <v>5084.6156109898729</v>
      </c>
      <c r="K1784" s="84">
        <v>494.13106947112243</v>
      </c>
      <c r="L1784" s="84">
        <v>0</v>
      </c>
      <c r="M1784" s="84">
        <v>607.94305449681713</v>
      </c>
      <c r="N1784" s="84">
        <v>3395.5202650421879</v>
      </c>
    </row>
    <row r="1785" spans="1:14" x14ac:dyDescent="0.25">
      <c r="A1785" s="74" t="s">
        <v>4236</v>
      </c>
      <c r="B1785" s="74">
        <v>9123</v>
      </c>
      <c r="C1785" t="e">
        <f>VLOOKUP(B1785,'Waste Lookups'!$B$1:$C$292,2,FALSE)</f>
        <v>#N/A</v>
      </c>
      <c r="D1785" s="84">
        <v>1200</v>
      </c>
      <c r="E1785" s="84">
        <v>763.30909090909097</v>
      </c>
      <c r="F1785" s="84">
        <v>0</v>
      </c>
      <c r="G1785" s="84">
        <v>0</v>
      </c>
      <c r="H1785" s="84">
        <v>0</v>
      </c>
      <c r="I1785" s="84"/>
      <c r="J1785" s="84">
        <v>0</v>
      </c>
      <c r="K1785" s="84">
        <v>0</v>
      </c>
      <c r="L1785" s="84">
        <v>0</v>
      </c>
      <c r="M1785" s="84">
        <v>0</v>
      </c>
      <c r="N1785" s="84">
        <v>0</v>
      </c>
    </row>
    <row r="1786" spans="1:14" x14ac:dyDescent="0.25">
      <c r="A1786" s="74" t="s">
        <v>4238</v>
      </c>
      <c r="B1786" s="74">
        <v>9124</v>
      </c>
      <c r="C1786" t="e">
        <f>VLOOKUP(B1786,'Waste Lookups'!$B$1:$C$292,2,FALSE)</f>
        <v>#N/A</v>
      </c>
      <c r="D1786" s="84">
        <v>0</v>
      </c>
      <c r="E1786" s="84">
        <v>1086.349090909091</v>
      </c>
      <c r="F1786" s="84">
        <v>0</v>
      </c>
      <c r="G1786" s="84">
        <v>28.799999999999997</v>
      </c>
      <c r="H1786" s="84">
        <v>0</v>
      </c>
      <c r="I1786" s="84"/>
      <c r="J1786" s="84">
        <v>0</v>
      </c>
      <c r="K1786" s="84">
        <v>941.81180137348122</v>
      </c>
      <c r="L1786" s="84">
        <v>0</v>
      </c>
      <c r="M1786" s="84">
        <v>24.968198626518745</v>
      </c>
      <c r="N1786" s="84">
        <v>0</v>
      </c>
    </row>
    <row r="1787" spans="1:14" x14ac:dyDescent="0.25">
      <c r="A1787" s="74" t="s">
        <v>4240</v>
      </c>
      <c r="B1787" s="74">
        <v>9132</v>
      </c>
      <c r="C1787" t="e">
        <f>VLOOKUP(B1787,'Waste Lookups'!$B$1:$C$292,2,FALSE)</f>
        <v>#N/A</v>
      </c>
      <c r="D1787" s="84">
        <v>0</v>
      </c>
      <c r="E1787" s="84">
        <v>85.090909090909093</v>
      </c>
      <c r="F1787" s="84">
        <v>0</v>
      </c>
      <c r="G1787" s="84">
        <v>0</v>
      </c>
      <c r="H1787" s="84">
        <v>0</v>
      </c>
      <c r="I1787" s="84"/>
      <c r="J1787" s="84">
        <v>0</v>
      </c>
      <c r="K1787" s="84">
        <v>0</v>
      </c>
      <c r="L1787" s="84">
        <v>0</v>
      </c>
      <c r="M1787" s="84">
        <v>0</v>
      </c>
      <c r="N1787" s="84">
        <v>0</v>
      </c>
    </row>
    <row r="1788" spans="1:14" x14ac:dyDescent="0.25">
      <c r="A1788" s="74" t="s">
        <v>4242</v>
      </c>
      <c r="B1788" s="74">
        <v>9133</v>
      </c>
      <c r="C1788" t="e">
        <f>VLOOKUP(B1788,'Waste Lookups'!$B$1:$C$292,2,FALSE)</f>
        <v>#N/A</v>
      </c>
      <c r="D1788" s="84">
        <v>0</v>
      </c>
      <c r="E1788" s="84">
        <v>0</v>
      </c>
      <c r="F1788" s="84">
        <v>0</v>
      </c>
      <c r="G1788" s="84">
        <v>517.09090909090912</v>
      </c>
      <c r="H1788" s="84">
        <v>0</v>
      </c>
      <c r="I1788" s="84"/>
      <c r="J1788" s="84">
        <v>0</v>
      </c>
      <c r="K1788" s="84">
        <v>0</v>
      </c>
      <c r="L1788" s="84">
        <v>0</v>
      </c>
      <c r="M1788" s="84">
        <v>0</v>
      </c>
      <c r="N1788" s="84">
        <v>0</v>
      </c>
    </row>
    <row r="1789" spans="1:14" x14ac:dyDescent="0.25">
      <c r="A1789" s="74" t="s">
        <v>4244</v>
      </c>
      <c r="B1789" s="74">
        <v>9167</v>
      </c>
      <c r="C1789" t="e">
        <f>VLOOKUP(B1789,'Waste Lookups'!$B$1:$C$292,2,FALSE)</f>
        <v>#N/A</v>
      </c>
      <c r="D1789" s="84">
        <v>172.56</v>
      </c>
      <c r="E1789" s="84">
        <v>0</v>
      </c>
      <c r="F1789" s="84">
        <v>0</v>
      </c>
      <c r="G1789" s="84">
        <v>0</v>
      </c>
      <c r="H1789" s="84">
        <v>396.92727272727274</v>
      </c>
      <c r="I1789" s="84"/>
      <c r="J1789" s="84">
        <v>0</v>
      </c>
      <c r="K1789" s="84">
        <v>0</v>
      </c>
      <c r="L1789" s="84">
        <v>0</v>
      </c>
      <c r="M1789" s="84">
        <v>0</v>
      </c>
      <c r="N1789" s="84">
        <v>0</v>
      </c>
    </row>
    <row r="1790" spans="1:14" x14ac:dyDescent="0.25">
      <c r="A1790" s="74" t="s">
        <v>4246</v>
      </c>
      <c r="B1790" s="74">
        <v>9444</v>
      </c>
      <c r="C1790" t="e">
        <f>VLOOKUP(B1790,'Waste Lookups'!$B$1:$C$292,2,FALSE)</f>
        <v>#N/A</v>
      </c>
      <c r="D1790" s="84">
        <v>222.58909090909088</v>
      </c>
      <c r="E1790" s="84">
        <v>0</v>
      </c>
      <c r="F1790" s="84">
        <v>0</v>
      </c>
      <c r="G1790" s="84">
        <v>0</v>
      </c>
      <c r="H1790" s="84">
        <v>0</v>
      </c>
      <c r="I1790" s="84"/>
      <c r="J1790" s="84">
        <v>0</v>
      </c>
      <c r="K1790" s="84">
        <v>0</v>
      </c>
      <c r="L1790" s="84">
        <v>0</v>
      </c>
      <c r="M1790" s="84">
        <v>0</v>
      </c>
      <c r="N1790" s="84">
        <v>0</v>
      </c>
    </row>
    <row r="1791" spans="1:14" x14ac:dyDescent="0.25">
      <c r="A1791" s="74" t="s">
        <v>752</v>
      </c>
      <c r="B1791" s="74">
        <v>9454</v>
      </c>
      <c r="C1791" t="str">
        <f>VLOOKUP(B1791,'Waste Lookups'!$B$1:$C$292,2,FALSE)</f>
        <v>Southside (4th Floor)</v>
      </c>
      <c r="D1791" s="84">
        <v>5595.2072727272725</v>
      </c>
      <c r="E1791" s="84">
        <v>0</v>
      </c>
      <c r="F1791" s="84">
        <v>0</v>
      </c>
      <c r="G1791" s="84">
        <v>120.06545454545454</v>
      </c>
      <c r="H1791" s="84">
        <v>8556.807272727272</v>
      </c>
      <c r="I1791" s="84"/>
      <c r="J1791" s="84">
        <v>10007.410413613661</v>
      </c>
      <c r="K1791" s="84">
        <v>0</v>
      </c>
      <c r="L1791" s="84">
        <v>0</v>
      </c>
      <c r="M1791" s="84">
        <v>214.74526707708014</v>
      </c>
      <c r="N1791" s="84">
        <v>15304.434319309257</v>
      </c>
    </row>
    <row r="1792" spans="1:14" x14ac:dyDescent="0.25">
      <c r="A1792" s="74" t="s">
        <v>4249</v>
      </c>
      <c r="B1792" s="74">
        <v>9456</v>
      </c>
      <c r="C1792" t="e">
        <f>VLOOKUP(B1792,'Waste Lookups'!$B$1:$C$292,2,FALSE)</f>
        <v>#N/A</v>
      </c>
      <c r="D1792" s="84">
        <v>70.429090909090917</v>
      </c>
      <c r="E1792" s="84">
        <v>0</v>
      </c>
      <c r="F1792" s="84">
        <v>0</v>
      </c>
      <c r="G1792" s="84">
        <v>0</v>
      </c>
      <c r="H1792" s="84">
        <v>0</v>
      </c>
      <c r="I1792" s="84"/>
      <c r="J1792" s="84">
        <v>0</v>
      </c>
      <c r="K1792" s="84">
        <v>0</v>
      </c>
      <c r="L1792" s="84">
        <v>0</v>
      </c>
      <c r="M1792" s="84">
        <v>0</v>
      </c>
      <c r="N1792" s="84">
        <v>0</v>
      </c>
    </row>
    <row r="1793" spans="1:14" x14ac:dyDescent="0.25">
      <c r="A1793" s="74" t="s">
        <v>744</v>
      </c>
      <c r="B1793" s="74">
        <v>9460</v>
      </c>
      <c r="C1793" t="str">
        <f>VLOOKUP(B1793,'Waste Lookups'!$B$1:$C$292,2,FALSE)</f>
        <v>Victoria House East Wing</v>
      </c>
      <c r="D1793" s="84">
        <v>0</v>
      </c>
      <c r="E1793" s="84">
        <v>217.75636363636366</v>
      </c>
      <c r="F1793" s="84">
        <v>0</v>
      </c>
      <c r="G1793" s="84">
        <v>1971.1963636363639</v>
      </c>
      <c r="H1793" s="84">
        <v>3754.1454545454549</v>
      </c>
      <c r="I1793" s="84"/>
      <c r="J1793" s="84">
        <v>0</v>
      </c>
      <c r="K1793" s="84">
        <v>209.92385262783046</v>
      </c>
      <c r="L1793" s="84">
        <v>0</v>
      </c>
      <c r="M1793" s="84">
        <v>1900.2941086559076</v>
      </c>
      <c r="N1793" s="84">
        <v>3619.1120387162618</v>
      </c>
    </row>
    <row r="1794" spans="1:14" x14ac:dyDescent="0.25">
      <c r="A1794" s="74" t="s">
        <v>4252</v>
      </c>
      <c r="B1794" s="74">
        <v>9466</v>
      </c>
      <c r="C1794" t="e">
        <f>VLOOKUP(B1794,'Waste Lookups'!$B$1:$C$292,2,FALSE)</f>
        <v>#N/A</v>
      </c>
      <c r="D1794" s="84">
        <v>0</v>
      </c>
      <c r="E1794" s="84">
        <v>0</v>
      </c>
      <c r="F1794" s="84">
        <v>0</v>
      </c>
      <c r="G1794" s="84">
        <v>0</v>
      </c>
      <c r="H1794" s="84">
        <v>0</v>
      </c>
      <c r="I1794" s="84"/>
      <c r="J1794" s="84">
        <v>0</v>
      </c>
      <c r="K1794" s="84">
        <v>0</v>
      </c>
      <c r="L1794" s="84">
        <v>0</v>
      </c>
      <c r="M1794" s="84">
        <v>0</v>
      </c>
      <c r="N1794" s="84">
        <v>0</v>
      </c>
    </row>
    <row r="1795" spans="1:14" x14ac:dyDescent="0.25">
      <c r="A1795" s="74" t="s">
        <v>745</v>
      </c>
      <c r="B1795" s="74">
        <v>9472</v>
      </c>
      <c r="C1795" t="str">
        <f>VLOOKUP(B1795,'Waste Lookups'!$B$1:$C$292,2,FALSE)</f>
        <v>Waterfront 4 (Ground Floor)</v>
      </c>
      <c r="D1795" s="84">
        <v>0</v>
      </c>
      <c r="E1795" s="84">
        <v>225.15272727272725</v>
      </c>
      <c r="F1795" s="84">
        <v>0</v>
      </c>
      <c r="G1795" s="84">
        <v>1048.32</v>
      </c>
      <c r="H1795" s="84">
        <v>5848.8872727272728</v>
      </c>
      <c r="I1795" s="84"/>
      <c r="J1795" s="84">
        <v>0</v>
      </c>
      <c r="K1795" s="84">
        <v>130.97681629020818</v>
      </c>
      <c r="L1795" s="84">
        <v>0</v>
      </c>
      <c r="M1795" s="84">
        <v>609.83323505130318</v>
      </c>
      <c r="N1795" s="84">
        <v>3402.4399486584884</v>
      </c>
    </row>
    <row r="1796" spans="1:14" x14ac:dyDescent="0.25">
      <c r="A1796" s="74" t="s">
        <v>4255</v>
      </c>
      <c r="B1796" s="74">
        <v>9473</v>
      </c>
      <c r="C1796" t="str">
        <f>VLOOKUP(B1796,'Waste Lookups'!$B$1:$C$292,2,FALSE)</f>
        <v>Waterfront 4 (1st Floor)</v>
      </c>
      <c r="D1796" s="84">
        <v>0</v>
      </c>
      <c r="E1796" s="84">
        <v>146.59636363636363</v>
      </c>
      <c r="F1796" s="84">
        <v>0</v>
      </c>
      <c r="G1796" s="84">
        <v>0</v>
      </c>
      <c r="H1796" s="84">
        <v>769.74545454545455</v>
      </c>
      <c r="I1796" s="84"/>
      <c r="J1796" s="84">
        <v>0</v>
      </c>
      <c r="K1796" s="84">
        <v>557.51749994047475</v>
      </c>
      <c r="L1796" s="84">
        <v>0</v>
      </c>
      <c r="M1796" s="84">
        <v>0</v>
      </c>
      <c r="N1796" s="84">
        <v>2927.4025000595252</v>
      </c>
    </row>
    <row r="1797" spans="1:14" x14ac:dyDescent="0.25">
      <c r="A1797" s="74" t="s">
        <v>746</v>
      </c>
      <c r="B1797" s="74">
        <v>9474</v>
      </c>
      <c r="C1797" t="str">
        <f>VLOOKUP(B1797,'Waste Lookups'!$B$1:$C$292,2,FALSE)</f>
        <v>Waterfront 4 (2nd Floor)</v>
      </c>
      <c r="D1797" s="84">
        <v>0</v>
      </c>
      <c r="E1797" s="84">
        <v>423.24</v>
      </c>
      <c r="F1797" s="84">
        <v>0</v>
      </c>
      <c r="G1797" s="84">
        <v>0</v>
      </c>
      <c r="H1797" s="84">
        <v>750.10909090909092</v>
      </c>
      <c r="I1797" s="84"/>
      <c r="J1797" s="84">
        <v>0</v>
      </c>
      <c r="K1797" s="84">
        <v>1207.1881135583922</v>
      </c>
      <c r="L1797" s="84">
        <v>0</v>
      </c>
      <c r="M1797" s="84">
        <v>0</v>
      </c>
      <c r="N1797" s="84">
        <v>2139.501886441607</v>
      </c>
    </row>
    <row r="1798" spans="1:14" x14ac:dyDescent="0.25">
      <c r="A1798" s="74" t="s">
        <v>751</v>
      </c>
      <c r="B1798" s="74">
        <v>9478</v>
      </c>
      <c r="C1798" t="str">
        <f>VLOOKUP(B1798,'Waste Lookups'!$B$1:$C$292,2,FALSE)</f>
        <v>3 Piccadilly Place (3rd Floor)</v>
      </c>
      <c r="D1798" s="84">
        <v>0</v>
      </c>
      <c r="E1798" s="84">
        <v>0</v>
      </c>
      <c r="F1798" s="84">
        <v>0</v>
      </c>
      <c r="G1798" s="84">
        <v>0</v>
      </c>
      <c r="H1798" s="84">
        <v>3272.727272727273</v>
      </c>
      <c r="I1798" s="84"/>
      <c r="J1798" s="84">
        <v>0</v>
      </c>
      <c r="K1798" s="84">
        <v>0</v>
      </c>
      <c r="L1798" s="84">
        <v>0</v>
      </c>
      <c r="M1798" s="84">
        <v>0</v>
      </c>
      <c r="N1798" s="84">
        <v>6263.4</v>
      </c>
    </row>
    <row r="1799" spans="1:14" x14ac:dyDescent="0.25">
      <c r="A1799" s="74" t="s">
        <v>4259</v>
      </c>
      <c r="B1799" s="74">
        <v>9484</v>
      </c>
      <c r="C1799" t="str">
        <f>VLOOKUP(B1799,'Waste Lookups'!$B$1:$C$292,2,FALSE)</f>
        <v>Rivergate House</v>
      </c>
      <c r="D1799" s="84">
        <v>0</v>
      </c>
      <c r="E1799" s="84">
        <v>0</v>
      </c>
      <c r="F1799" s="84">
        <v>0</v>
      </c>
      <c r="G1799" s="84">
        <v>0</v>
      </c>
      <c r="H1799" s="84">
        <v>2659.1890909090912</v>
      </c>
      <c r="I1799" s="84"/>
      <c r="J1799" s="84">
        <v>0</v>
      </c>
      <c r="K1799" s="84">
        <v>0</v>
      </c>
      <c r="L1799" s="84">
        <v>0</v>
      </c>
      <c r="M1799" s="84">
        <v>0</v>
      </c>
      <c r="N1799" s="84">
        <v>1004.07</v>
      </c>
    </row>
    <row r="1800" spans="1:14" x14ac:dyDescent="0.25">
      <c r="A1800" s="74" t="s">
        <v>747</v>
      </c>
      <c r="B1800" s="74">
        <v>9492</v>
      </c>
      <c r="C1800" t="str">
        <f>VLOOKUP(B1800,'Waste Lookups'!$B$1:$C$292,2,FALSE)</f>
        <v>York House</v>
      </c>
      <c r="D1800" s="84">
        <v>0</v>
      </c>
      <c r="E1800" s="84">
        <v>2335.4181818181819</v>
      </c>
      <c r="F1800" s="84">
        <v>0</v>
      </c>
      <c r="G1800" s="84">
        <v>0</v>
      </c>
      <c r="H1800" s="84">
        <v>2736.207272727273</v>
      </c>
      <c r="I1800" s="84"/>
      <c r="J1800" s="84">
        <v>0</v>
      </c>
      <c r="K1800" s="84">
        <v>2095.8196184547614</v>
      </c>
      <c r="L1800" s="84">
        <v>0</v>
      </c>
      <c r="M1800" s="84">
        <v>0</v>
      </c>
      <c r="N1800" s="84">
        <v>2455.4903815452394</v>
      </c>
    </row>
    <row r="1801" spans="1:14" x14ac:dyDescent="0.25">
      <c r="A1801" s="74" t="s">
        <v>743</v>
      </c>
      <c r="B1801" s="74">
        <v>9495</v>
      </c>
      <c r="C1801" t="str">
        <f>VLOOKUP(B1801,'Waste Lookups'!$B$1:$C$292,2,FALSE)</f>
        <v>South West House</v>
      </c>
      <c r="D1801" s="84">
        <v>0</v>
      </c>
      <c r="E1801" s="84">
        <v>11221.538181818181</v>
      </c>
      <c r="F1801" s="84">
        <v>0</v>
      </c>
      <c r="G1801" s="84">
        <v>829.63636363636374</v>
      </c>
      <c r="H1801" s="84">
        <v>1328.7272727272727</v>
      </c>
      <c r="I1801" s="84"/>
      <c r="J1801" s="84">
        <v>0</v>
      </c>
      <c r="K1801" s="84">
        <v>5397.6162465113894</v>
      </c>
      <c r="L1801" s="84">
        <v>0</v>
      </c>
      <c r="M1801" s="84">
        <v>399.05925930153597</v>
      </c>
      <c r="N1801" s="84">
        <v>639.12449418707524</v>
      </c>
    </row>
    <row r="1802" spans="1:14" x14ac:dyDescent="0.25">
      <c r="A1802" s="74" t="s">
        <v>4263</v>
      </c>
      <c r="B1802" s="74">
        <v>9499</v>
      </c>
      <c r="C1802" t="e">
        <f>VLOOKUP(B1802,'Waste Lookups'!$B$1:$C$292,2,FALSE)</f>
        <v>#N/A</v>
      </c>
      <c r="D1802" s="84">
        <v>0</v>
      </c>
      <c r="E1802" s="84">
        <v>474.07636363636368</v>
      </c>
      <c r="F1802" s="84">
        <v>0</v>
      </c>
      <c r="G1802" s="84">
        <v>183.27272727272728</v>
      </c>
      <c r="H1802" s="84">
        <v>2974.909090909091</v>
      </c>
      <c r="I1802" s="84"/>
      <c r="J1802" s="84">
        <v>0</v>
      </c>
      <c r="K1802" s="84">
        <v>977.78217370411198</v>
      </c>
      <c r="L1802" s="84">
        <v>0</v>
      </c>
      <c r="M1802" s="84">
        <v>377.99987385758521</v>
      </c>
      <c r="N1802" s="84">
        <v>6135.7479524383025</v>
      </c>
    </row>
    <row r="1803" spans="1:14" x14ac:dyDescent="0.25">
      <c r="A1803" s="74" t="s">
        <v>4265</v>
      </c>
      <c r="B1803" s="74">
        <v>9681</v>
      </c>
      <c r="C1803" t="e">
        <f>VLOOKUP(B1803,'Waste Lookups'!$B$1:$C$292,2,FALSE)</f>
        <v>#N/A</v>
      </c>
      <c r="D1803" s="84">
        <v>0</v>
      </c>
      <c r="E1803" s="84">
        <v>0</v>
      </c>
      <c r="F1803" s="84">
        <v>0</v>
      </c>
      <c r="G1803" s="84">
        <v>0</v>
      </c>
      <c r="H1803" s="84">
        <v>0</v>
      </c>
      <c r="I1803" s="84"/>
      <c r="J1803" s="84">
        <v>0</v>
      </c>
      <c r="K1803" s="84">
        <v>0</v>
      </c>
      <c r="L1803" s="84">
        <v>0</v>
      </c>
      <c r="M1803" s="84">
        <v>0</v>
      </c>
      <c r="N1803" s="84">
        <v>0</v>
      </c>
    </row>
    <row r="1804" spans="1:14" x14ac:dyDescent="0.25">
      <c r="A1804" s="74" t="s">
        <v>4267</v>
      </c>
      <c r="B1804" s="74">
        <v>9710</v>
      </c>
      <c r="C1804" t="e">
        <f>VLOOKUP(B1804,'Waste Lookups'!$B$1:$C$292,2,FALSE)</f>
        <v>#N/A</v>
      </c>
      <c r="D1804" s="84">
        <v>397.90909090909099</v>
      </c>
      <c r="E1804" s="84">
        <v>0</v>
      </c>
      <c r="F1804" s="84">
        <v>0</v>
      </c>
      <c r="G1804" s="84">
        <v>0</v>
      </c>
      <c r="H1804" s="84">
        <v>1666.4727272727273</v>
      </c>
      <c r="I1804" s="84"/>
      <c r="J1804" s="84">
        <v>3720.3941025708782</v>
      </c>
      <c r="K1804" s="84">
        <v>0</v>
      </c>
      <c r="L1804" s="84">
        <v>0</v>
      </c>
      <c r="M1804" s="84">
        <v>0</v>
      </c>
      <c r="N1804" s="84">
        <v>15581.285897429123</v>
      </c>
    </row>
    <row r="1805" spans="1:14" x14ac:dyDescent="0.25">
      <c r="A1805" s="74" t="s">
        <v>4269</v>
      </c>
      <c r="B1805" s="74">
        <v>9714</v>
      </c>
      <c r="C1805" t="e">
        <f>VLOOKUP(B1805,'Waste Lookups'!$B$1:$C$292,2,FALSE)</f>
        <v>#N/A</v>
      </c>
      <c r="D1805" s="84">
        <v>0</v>
      </c>
      <c r="E1805" s="84">
        <v>102.31636363636365</v>
      </c>
      <c r="F1805" s="84">
        <v>0</v>
      </c>
      <c r="G1805" s="84">
        <v>208.97454545454545</v>
      </c>
      <c r="H1805" s="84">
        <v>0</v>
      </c>
      <c r="I1805" s="84"/>
      <c r="J1805" s="84">
        <v>0</v>
      </c>
      <c r="K1805" s="84">
        <v>221.09262800070093</v>
      </c>
      <c r="L1805" s="84">
        <v>0</v>
      </c>
      <c r="M1805" s="84">
        <v>451.56737199929916</v>
      </c>
      <c r="N1805" s="84">
        <v>0</v>
      </c>
    </row>
    <row r="1806" spans="1:14" x14ac:dyDescent="0.25">
      <c r="A1806" s="74" t="s">
        <v>4271</v>
      </c>
      <c r="B1806" s="74">
        <v>9730</v>
      </c>
      <c r="C1806" t="e">
        <f>VLOOKUP(B1806,'Waste Lookups'!$B$1:$C$292,2,FALSE)</f>
        <v>#N/A</v>
      </c>
      <c r="D1806" s="84">
        <v>0</v>
      </c>
      <c r="E1806" s="84">
        <v>0</v>
      </c>
      <c r="F1806" s="84">
        <v>0</v>
      </c>
      <c r="G1806" s="84">
        <v>0</v>
      </c>
      <c r="H1806" s="84">
        <v>0</v>
      </c>
      <c r="I1806" s="84"/>
      <c r="J1806" s="84">
        <v>0</v>
      </c>
      <c r="K1806" s="84">
        <v>0</v>
      </c>
      <c r="L1806" s="84">
        <v>0</v>
      </c>
      <c r="M1806" s="84">
        <v>0</v>
      </c>
      <c r="N1806" s="84">
        <v>0</v>
      </c>
    </row>
    <row r="1807" spans="1:14" x14ac:dyDescent="0.25">
      <c r="A1807" s="74" t="s">
        <v>4273</v>
      </c>
      <c r="B1807" s="74">
        <v>9740</v>
      </c>
      <c r="C1807" t="e">
        <f>VLOOKUP(B1807,'Waste Lookups'!$B$1:$C$292,2,FALSE)</f>
        <v>#N/A</v>
      </c>
      <c r="D1807" s="84">
        <v>16561.090909090908</v>
      </c>
      <c r="E1807" s="84">
        <v>0</v>
      </c>
      <c r="F1807" s="84">
        <v>0</v>
      </c>
      <c r="G1807" s="84">
        <v>0</v>
      </c>
      <c r="H1807" s="84">
        <v>0</v>
      </c>
      <c r="I1807" s="84"/>
      <c r="J1807" s="84">
        <v>35106.85</v>
      </c>
      <c r="K1807" s="84">
        <v>0</v>
      </c>
      <c r="L1807" s="84">
        <v>0</v>
      </c>
      <c r="M1807" s="84">
        <v>0</v>
      </c>
      <c r="N1807" s="84">
        <v>0</v>
      </c>
    </row>
    <row r="1808" spans="1:14" x14ac:dyDescent="0.25">
      <c r="A1808" s="74" t="s">
        <v>4275</v>
      </c>
      <c r="B1808" s="74">
        <v>9744</v>
      </c>
      <c r="C1808" t="e">
        <f>VLOOKUP(B1808,'Waste Lookups'!$B$1:$C$292,2,FALSE)</f>
        <v>#N/A</v>
      </c>
      <c r="D1808" s="84">
        <v>0</v>
      </c>
      <c r="E1808" s="84">
        <v>0</v>
      </c>
      <c r="F1808" s="84">
        <v>0</v>
      </c>
      <c r="G1808" s="84">
        <v>0</v>
      </c>
      <c r="H1808" s="84">
        <v>109.09090909090909</v>
      </c>
      <c r="I1808" s="84"/>
      <c r="J1808" s="84">
        <v>0</v>
      </c>
      <c r="K1808" s="84">
        <v>0</v>
      </c>
      <c r="L1808" s="84">
        <v>0</v>
      </c>
      <c r="M1808" s="84">
        <v>0</v>
      </c>
      <c r="N1808" s="84">
        <v>9606.2000000000007</v>
      </c>
    </row>
    <row r="1809" spans="1:14" x14ac:dyDescent="0.25">
      <c r="A1809" s="74" t="s">
        <v>4277</v>
      </c>
      <c r="B1809" s="74">
        <v>9753</v>
      </c>
      <c r="C1809" t="e">
        <f>VLOOKUP(B1809,'Waste Lookups'!$B$1:$C$292,2,FALSE)</f>
        <v>#N/A</v>
      </c>
      <c r="D1809" s="84">
        <v>2052.5236363636363</v>
      </c>
      <c r="E1809" s="84">
        <v>162.29454545454547</v>
      </c>
      <c r="F1809" s="84">
        <v>0</v>
      </c>
      <c r="G1809" s="84">
        <v>0</v>
      </c>
      <c r="H1809" s="84">
        <v>0</v>
      </c>
      <c r="I1809" s="84"/>
      <c r="J1809" s="84">
        <v>0</v>
      </c>
      <c r="K1809" s="84">
        <v>0</v>
      </c>
      <c r="L1809" s="84">
        <v>0</v>
      </c>
      <c r="M1809" s="84">
        <v>0</v>
      </c>
      <c r="N1809" s="84">
        <v>0</v>
      </c>
    </row>
    <row r="1810" spans="1:14" x14ac:dyDescent="0.25">
      <c r="A1810" s="74" t="s">
        <v>4279</v>
      </c>
      <c r="B1810" s="74">
        <v>9755</v>
      </c>
      <c r="C1810" t="e">
        <f>VLOOKUP(B1810,'Waste Lookups'!$B$1:$C$292,2,FALSE)</f>
        <v>#N/A</v>
      </c>
      <c r="D1810" s="84">
        <v>0</v>
      </c>
      <c r="E1810" s="84">
        <v>1346.2363636363636</v>
      </c>
      <c r="F1810" s="84">
        <v>0</v>
      </c>
      <c r="G1810" s="84">
        <v>0</v>
      </c>
      <c r="H1810" s="84">
        <v>0</v>
      </c>
      <c r="I1810" s="84"/>
      <c r="J1810" s="84">
        <v>0</v>
      </c>
      <c r="K1810" s="84">
        <v>0</v>
      </c>
      <c r="L1810" s="84">
        <v>0</v>
      </c>
      <c r="M1810" s="84">
        <v>0</v>
      </c>
      <c r="N1810" s="84">
        <v>0</v>
      </c>
    </row>
    <row r="1811" spans="1:14" x14ac:dyDescent="0.25">
      <c r="A1811" s="74" t="s">
        <v>4281</v>
      </c>
      <c r="B1811" s="74">
        <v>9760</v>
      </c>
      <c r="C1811" t="e">
        <f>VLOOKUP(B1811,'Waste Lookups'!$B$1:$C$292,2,FALSE)</f>
        <v>#N/A</v>
      </c>
      <c r="D1811" s="84">
        <v>0</v>
      </c>
      <c r="E1811" s="84">
        <v>0</v>
      </c>
      <c r="F1811" s="84">
        <v>0</v>
      </c>
      <c r="G1811" s="84">
        <v>0</v>
      </c>
      <c r="H1811" s="84">
        <v>0</v>
      </c>
      <c r="I1811" s="84"/>
      <c r="J1811" s="84">
        <v>0</v>
      </c>
      <c r="K1811" s="84">
        <v>0</v>
      </c>
      <c r="L1811" s="84">
        <v>0</v>
      </c>
      <c r="M1811" s="84">
        <v>0</v>
      </c>
      <c r="N1811" s="84">
        <v>0</v>
      </c>
    </row>
    <row r="1812" spans="1:14" x14ac:dyDescent="0.25">
      <c r="A1812" s="74" t="s">
        <v>4283</v>
      </c>
      <c r="B1812" s="74">
        <v>9800</v>
      </c>
      <c r="C1812" t="e">
        <f>VLOOKUP(B1812,'Waste Lookups'!$B$1:$C$292,2,FALSE)</f>
        <v>#N/A</v>
      </c>
      <c r="D1812" s="84">
        <v>0</v>
      </c>
      <c r="E1812" s="84">
        <v>0</v>
      </c>
      <c r="F1812" s="84">
        <v>0</v>
      </c>
      <c r="G1812" s="84">
        <v>1915.4618181818182</v>
      </c>
      <c r="H1812" s="84">
        <v>0</v>
      </c>
      <c r="I1812" s="84"/>
      <c r="J1812" s="84">
        <v>0</v>
      </c>
      <c r="K1812" s="84">
        <v>0</v>
      </c>
      <c r="L1812" s="84">
        <v>0</v>
      </c>
      <c r="M1812" s="84">
        <v>147440.71</v>
      </c>
      <c r="N1812" s="84">
        <v>0</v>
      </c>
    </row>
    <row r="1813" spans="1:14" x14ac:dyDescent="0.25">
      <c r="A1813" s="74" t="s">
        <v>4285</v>
      </c>
      <c r="B1813" s="74">
        <v>9810</v>
      </c>
      <c r="C1813" t="e">
        <f>VLOOKUP(B1813,'Waste Lookups'!$B$1:$C$292,2,FALSE)</f>
        <v>#N/A</v>
      </c>
      <c r="D1813" s="84">
        <v>159.67636363636365</v>
      </c>
      <c r="E1813" s="84">
        <v>0</v>
      </c>
      <c r="F1813" s="84">
        <v>0</v>
      </c>
      <c r="G1813" s="84">
        <v>133.14545454545456</v>
      </c>
      <c r="H1813" s="84">
        <v>0</v>
      </c>
      <c r="I1813" s="84"/>
      <c r="J1813" s="84">
        <v>0</v>
      </c>
      <c r="K1813" s="84">
        <v>0</v>
      </c>
      <c r="L1813" s="84">
        <v>0</v>
      </c>
      <c r="M1813" s="84">
        <v>0</v>
      </c>
      <c r="N1813" s="84">
        <v>0</v>
      </c>
    </row>
    <row r="1814" spans="1:14" x14ac:dyDescent="0.25">
      <c r="A1814" s="74" t="s">
        <v>4287</v>
      </c>
      <c r="B1814" s="74">
        <v>9830</v>
      </c>
      <c r="C1814" t="e">
        <f>VLOOKUP(B1814,'Waste Lookups'!$B$1:$C$292,2,FALSE)</f>
        <v>#N/A</v>
      </c>
      <c r="D1814" s="84">
        <v>0</v>
      </c>
      <c r="E1814" s="84">
        <v>0</v>
      </c>
      <c r="F1814" s="84">
        <v>0</v>
      </c>
      <c r="G1814" s="84">
        <v>0</v>
      </c>
      <c r="H1814" s="84">
        <v>0</v>
      </c>
      <c r="I1814" s="84"/>
      <c r="J1814" s="84">
        <v>0</v>
      </c>
      <c r="K1814" s="84">
        <v>0</v>
      </c>
      <c r="L1814" s="84">
        <v>0</v>
      </c>
      <c r="M1814" s="84">
        <v>0</v>
      </c>
      <c r="N1814" s="84">
        <v>0</v>
      </c>
    </row>
    <row r="1815" spans="1:14" x14ac:dyDescent="0.25">
      <c r="A1815" s="74" t="s">
        <v>4289</v>
      </c>
      <c r="B1815" s="74">
        <v>9831</v>
      </c>
      <c r="C1815" t="e">
        <f>VLOOKUP(B1815,'Waste Lookups'!$B$1:$C$292,2,FALSE)</f>
        <v>#N/A</v>
      </c>
      <c r="D1815" s="84">
        <v>0</v>
      </c>
      <c r="E1815" s="84">
        <v>0</v>
      </c>
      <c r="F1815" s="84">
        <v>0</v>
      </c>
      <c r="G1815" s="84">
        <v>0</v>
      </c>
      <c r="H1815" s="84">
        <v>0</v>
      </c>
      <c r="I1815" s="84"/>
      <c r="J1815" s="84">
        <v>0</v>
      </c>
      <c r="K1815" s="84">
        <v>0</v>
      </c>
      <c r="L1815" s="84">
        <v>0</v>
      </c>
      <c r="M1815" s="84">
        <v>0</v>
      </c>
      <c r="N1815" s="84">
        <v>0</v>
      </c>
    </row>
    <row r="1816" spans="1:14" x14ac:dyDescent="0.25">
      <c r="A1816" s="74" t="s">
        <v>4291</v>
      </c>
      <c r="B1816" s="74">
        <v>9841</v>
      </c>
      <c r="C1816" t="e">
        <f>VLOOKUP(B1816,'Waste Lookups'!$B$1:$C$292,2,FALSE)</f>
        <v>#N/A</v>
      </c>
      <c r="D1816" s="84">
        <v>0</v>
      </c>
      <c r="E1816" s="84">
        <v>565.41818181818178</v>
      </c>
      <c r="F1816" s="84">
        <v>89.072727272727278</v>
      </c>
      <c r="G1816" s="84">
        <v>0</v>
      </c>
      <c r="H1816" s="84">
        <v>0</v>
      </c>
      <c r="I1816" s="84"/>
      <c r="J1816" s="84">
        <v>0</v>
      </c>
      <c r="K1816" s="84">
        <v>0</v>
      </c>
      <c r="L1816" s="84">
        <v>0</v>
      </c>
      <c r="M1816" s="84">
        <v>0</v>
      </c>
      <c r="N1816" s="84">
        <v>0</v>
      </c>
    </row>
    <row r="1817" spans="1:14" x14ac:dyDescent="0.25">
      <c r="A1817" s="74" t="s">
        <v>4293</v>
      </c>
      <c r="B1817" s="74">
        <v>9860</v>
      </c>
      <c r="C1817" t="e">
        <f>VLOOKUP(B1817,'Waste Lookups'!$B$1:$C$292,2,FALSE)</f>
        <v>#N/A</v>
      </c>
      <c r="D1817" s="84">
        <v>0</v>
      </c>
      <c r="E1817" s="84">
        <v>0</v>
      </c>
      <c r="F1817" s="84">
        <v>0</v>
      </c>
      <c r="G1817" s="84">
        <v>35.214545454545458</v>
      </c>
      <c r="H1817" s="84">
        <v>0</v>
      </c>
      <c r="I1817" s="84"/>
      <c r="J1817" s="84">
        <v>0</v>
      </c>
      <c r="K1817" s="84">
        <v>0</v>
      </c>
      <c r="L1817" s="84">
        <v>0</v>
      </c>
      <c r="M1817" s="84">
        <v>131.04</v>
      </c>
      <c r="N1817" s="84">
        <v>0</v>
      </c>
    </row>
    <row r="1818" spans="1:14" x14ac:dyDescent="0.25">
      <c r="A1818" s="74" t="s">
        <v>4295</v>
      </c>
      <c r="B1818" s="74">
        <v>9877</v>
      </c>
      <c r="C1818" t="e">
        <f>VLOOKUP(B1818,'Waste Lookups'!$B$1:$C$292,2,FALSE)</f>
        <v>#N/A</v>
      </c>
      <c r="D1818" s="84">
        <v>7.0690909090909093</v>
      </c>
      <c r="E1818" s="84">
        <v>0</v>
      </c>
      <c r="F1818" s="84">
        <v>0</v>
      </c>
      <c r="G1818" s="84">
        <v>0</v>
      </c>
      <c r="H1818" s="84">
        <v>0</v>
      </c>
      <c r="I1818" s="84"/>
      <c r="J1818" s="84">
        <v>0</v>
      </c>
      <c r="K1818" s="84">
        <v>0</v>
      </c>
      <c r="L1818" s="84">
        <v>0</v>
      </c>
      <c r="M1818" s="84">
        <v>0</v>
      </c>
      <c r="N1818" s="84">
        <v>0</v>
      </c>
    </row>
    <row r="1819" spans="1:14" x14ac:dyDescent="0.25">
      <c r="A1819" s="74" t="s">
        <v>4297</v>
      </c>
      <c r="B1819" s="74">
        <v>9889</v>
      </c>
      <c r="C1819" t="e">
        <f>VLOOKUP(B1819,'Waste Lookups'!$B$1:$C$292,2,FALSE)</f>
        <v>#N/A</v>
      </c>
      <c r="D1819" s="84">
        <v>0</v>
      </c>
      <c r="E1819" s="84">
        <v>37161.370909090903</v>
      </c>
      <c r="F1819" s="84">
        <v>0</v>
      </c>
      <c r="G1819" s="84">
        <v>0</v>
      </c>
      <c r="H1819" s="84">
        <v>0</v>
      </c>
      <c r="I1819" s="84"/>
      <c r="J1819" s="84">
        <v>0</v>
      </c>
      <c r="K1819" s="84">
        <v>0</v>
      </c>
      <c r="L1819" s="84">
        <v>0</v>
      </c>
      <c r="M1819" s="84">
        <v>0</v>
      </c>
      <c r="N1819" s="84">
        <v>0</v>
      </c>
    </row>
    <row r="1820" spans="1:14" x14ac:dyDescent="0.25">
      <c r="A1820" s="74" t="s">
        <v>4299</v>
      </c>
      <c r="B1820" s="74">
        <v>9911</v>
      </c>
      <c r="C1820" t="e">
        <f>VLOOKUP(B1820,'Waste Lookups'!$B$1:$C$292,2,FALSE)</f>
        <v>#N/A</v>
      </c>
      <c r="D1820" s="84">
        <v>0</v>
      </c>
      <c r="E1820" s="84">
        <v>3109.6254545454544</v>
      </c>
      <c r="F1820" s="84">
        <v>0</v>
      </c>
      <c r="G1820" s="84">
        <v>0</v>
      </c>
      <c r="H1820" s="84">
        <v>0</v>
      </c>
      <c r="I1820" s="84"/>
      <c r="J1820" s="84">
        <v>0</v>
      </c>
      <c r="K1820" s="84">
        <v>84430.41</v>
      </c>
      <c r="L1820" s="84">
        <v>0</v>
      </c>
      <c r="M1820" s="84">
        <v>0</v>
      </c>
      <c r="N1820" s="84">
        <v>0</v>
      </c>
    </row>
    <row r="1821" spans="1:14" x14ac:dyDescent="0.25">
      <c r="A1821" s="74" t="s">
        <v>4301</v>
      </c>
      <c r="B1821" s="74">
        <v>9913</v>
      </c>
      <c r="C1821" t="e">
        <f>VLOOKUP(B1821,'Waste Lookups'!$B$1:$C$292,2,FALSE)</f>
        <v>#N/A</v>
      </c>
      <c r="D1821" s="84">
        <v>0</v>
      </c>
      <c r="E1821" s="84">
        <v>0</v>
      </c>
      <c r="F1821" s="84">
        <v>0</v>
      </c>
      <c r="G1821" s="84">
        <v>0</v>
      </c>
      <c r="H1821" s="84">
        <v>0</v>
      </c>
      <c r="I1821" s="84"/>
      <c r="J1821" s="84">
        <v>0</v>
      </c>
      <c r="K1821" s="84">
        <v>0</v>
      </c>
      <c r="L1821" s="84">
        <v>0</v>
      </c>
      <c r="M1821" s="84">
        <v>0</v>
      </c>
      <c r="N1821" s="84">
        <v>0</v>
      </c>
    </row>
    <row r="1822" spans="1:14" x14ac:dyDescent="0.25">
      <c r="A1822" s="74" t="s">
        <v>4303</v>
      </c>
      <c r="B1822" s="74">
        <v>9946</v>
      </c>
      <c r="C1822" t="e">
        <f>VLOOKUP(B1822,'Waste Lookups'!$B$1:$C$292,2,FALSE)</f>
        <v>#N/A</v>
      </c>
      <c r="D1822" s="84">
        <v>210.68727272727273</v>
      </c>
      <c r="E1822" s="84">
        <v>0</v>
      </c>
      <c r="F1822" s="84">
        <v>0</v>
      </c>
      <c r="G1822" s="84">
        <v>0</v>
      </c>
      <c r="H1822" s="84">
        <v>0</v>
      </c>
      <c r="I1822" s="84"/>
      <c r="J1822" s="84">
        <v>0</v>
      </c>
      <c r="K1822" s="84">
        <v>0</v>
      </c>
      <c r="L1822" s="84">
        <v>0</v>
      </c>
      <c r="M1822" s="84">
        <v>0</v>
      </c>
      <c r="N1822" s="84">
        <v>0</v>
      </c>
    </row>
    <row r="1823" spans="1:14" x14ac:dyDescent="0.25">
      <c r="A1823" s="74" t="s">
        <v>4305</v>
      </c>
      <c r="B1823" s="74">
        <v>9956</v>
      </c>
      <c r="C1823" t="e">
        <f>VLOOKUP(B1823,'Waste Lookups'!$B$1:$C$292,2,FALSE)</f>
        <v>#N/A</v>
      </c>
      <c r="D1823" s="84">
        <v>8682.7527272727275</v>
      </c>
      <c r="E1823" s="84">
        <v>0</v>
      </c>
      <c r="F1823" s="84">
        <v>253.26545454545453</v>
      </c>
      <c r="G1823" s="84">
        <v>1807.8327272727274</v>
      </c>
      <c r="H1823" s="84">
        <v>0</v>
      </c>
      <c r="I1823" s="84"/>
      <c r="J1823" s="84">
        <v>0</v>
      </c>
      <c r="K1823" s="84">
        <v>0</v>
      </c>
      <c r="L1823" s="84">
        <v>0</v>
      </c>
      <c r="M1823" s="84">
        <v>0</v>
      </c>
      <c r="N1823" s="84">
        <v>0</v>
      </c>
    </row>
    <row r="1824" spans="1:14" x14ac:dyDescent="0.25">
      <c r="A1824" s="74" t="s">
        <v>4307</v>
      </c>
      <c r="B1824" s="74">
        <v>9957</v>
      </c>
      <c r="C1824" t="e">
        <f>VLOOKUP(B1824,'Waste Lookups'!$B$1:$C$292,2,FALSE)</f>
        <v>#N/A</v>
      </c>
      <c r="D1824" s="84">
        <v>1765.2327272727275</v>
      </c>
      <c r="E1824" s="84">
        <v>6922.7018181818185</v>
      </c>
      <c r="F1824" s="84">
        <v>0</v>
      </c>
      <c r="G1824" s="84">
        <v>0</v>
      </c>
      <c r="H1824" s="84">
        <v>0</v>
      </c>
      <c r="I1824" s="84"/>
      <c r="J1824" s="84">
        <v>0</v>
      </c>
      <c r="K1824" s="84">
        <v>0</v>
      </c>
      <c r="L1824" s="84">
        <v>0</v>
      </c>
      <c r="M1824" s="84">
        <v>0</v>
      </c>
      <c r="N1824" s="84">
        <v>0</v>
      </c>
    </row>
    <row r="1825" spans="1:14" x14ac:dyDescent="0.25">
      <c r="A1825" s="74" t="s">
        <v>4309</v>
      </c>
      <c r="B1825" s="74">
        <v>9958</v>
      </c>
      <c r="C1825" t="e">
        <f>VLOOKUP(B1825,'Waste Lookups'!$B$1:$C$292,2,FALSE)</f>
        <v>#N/A</v>
      </c>
      <c r="D1825" s="84">
        <v>4380.2290909090907</v>
      </c>
      <c r="E1825" s="84">
        <v>9486.24</v>
      </c>
      <c r="F1825" s="84">
        <v>0</v>
      </c>
      <c r="G1825" s="84">
        <v>1944.3927272727274</v>
      </c>
      <c r="H1825" s="84">
        <v>0</v>
      </c>
      <c r="I1825" s="84"/>
      <c r="J1825" s="84">
        <v>0</v>
      </c>
      <c r="K1825" s="84">
        <v>0</v>
      </c>
      <c r="L1825" s="84">
        <v>0</v>
      </c>
      <c r="M1825" s="84">
        <v>0</v>
      </c>
      <c r="N1825" s="84">
        <v>0</v>
      </c>
    </row>
    <row r="1826" spans="1:14" x14ac:dyDescent="0.25">
      <c r="A1826" s="74" t="s">
        <v>4311</v>
      </c>
      <c r="B1826" s="74">
        <v>9959</v>
      </c>
      <c r="C1826" t="e">
        <f>VLOOKUP(B1826,'Waste Lookups'!$B$1:$C$292,2,FALSE)</f>
        <v>#N/A</v>
      </c>
      <c r="D1826" s="84">
        <v>271.85454545454542</v>
      </c>
      <c r="E1826" s="84">
        <v>31388.574545454547</v>
      </c>
      <c r="F1826" s="84">
        <v>3739.6254545454544</v>
      </c>
      <c r="G1826" s="84">
        <v>0</v>
      </c>
      <c r="H1826" s="84">
        <v>9620.5090909090904</v>
      </c>
      <c r="I1826" s="84"/>
      <c r="J1826" s="84">
        <v>0</v>
      </c>
      <c r="K1826" s="84">
        <v>0</v>
      </c>
      <c r="L1826" s="84">
        <v>0</v>
      </c>
      <c r="M1826" s="84">
        <v>0</v>
      </c>
      <c r="N1826" s="84">
        <v>0</v>
      </c>
    </row>
    <row r="1827" spans="1:14" x14ac:dyDescent="0.25">
      <c r="A1827" s="74" t="s">
        <v>4313</v>
      </c>
      <c r="B1827" s="74">
        <v>9968</v>
      </c>
      <c r="C1827" t="e">
        <f>VLOOKUP(B1827,'Waste Lookups'!$B$1:$C$292,2,FALSE)</f>
        <v>#N/A</v>
      </c>
      <c r="D1827" s="84">
        <v>0</v>
      </c>
      <c r="E1827" s="84">
        <v>0</v>
      </c>
      <c r="F1827" s="84">
        <v>0</v>
      </c>
      <c r="G1827" s="84">
        <v>0</v>
      </c>
      <c r="H1827" s="84">
        <v>0</v>
      </c>
      <c r="I1827" s="84"/>
      <c r="J1827" s="84">
        <v>0</v>
      </c>
      <c r="K1827" s="84">
        <v>0</v>
      </c>
      <c r="L1827" s="84">
        <v>0</v>
      </c>
      <c r="M1827" s="84">
        <v>0</v>
      </c>
      <c r="N1827" s="84">
        <v>0</v>
      </c>
    </row>
    <row r="1828" spans="1:14" x14ac:dyDescent="0.25">
      <c r="A1828" s="74" t="s">
        <v>4315</v>
      </c>
      <c r="B1828" s="74">
        <v>9972</v>
      </c>
      <c r="C1828" t="e">
        <f>VLOOKUP(B1828,'Waste Lookups'!$B$1:$C$292,2,FALSE)</f>
        <v>#N/A</v>
      </c>
      <c r="D1828" s="84">
        <v>0</v>
      </c>
      <c r="E1828" s="84">
        <v>0</v>
      </c>
      <c r="F1828" s="84">
        <v>0</v>
      </c>
      <c r="G1828" s="84">
        <v>0</v>
      </c>
      <c r="H1828" s="84">
        <v>628.36363636363637</v>
      </c>
      <c r="I1828" s="84"/>
      <c r="J1828" s="84">
        <v>0</v>
      </c>
      <c r="K1828" s="84">
        <v>0</v>
      </c>
      <c r="L1828" s="84">
        <v>0</v>
      </c>
      <c r="M1828" s="84">
        <v>0</v>
      </c>
      <c r="N1828" s="84">
        <v>0</v>
      </c>
    </row>
    <row r="1829" spans="1:14" x14ac:dyDescent="0.25">
      <c r="A1829" s="74" t="s">
        <v>4317</v>
      </c>
      <c r="B1829" s="74">
        <v>9974</v>
      </c>
      <c r="C1829" t="e">
        <f>VLOOKUP(B1829,'Waste Lookups'!$B$1:$C$292,2,FALSE)</f>
        <v>#N/A</v>
      </c>
      <c r="D1829" s="84">
        <v>112.71272727272728</v>
      </c>
      <c r="E1829" s="84">
        <v>0</v>
      </c>
      <c r="F1829" s="84">
        <v>0</v>
      </c>
      <c r="G1829" s="84">
        <v>0</v>
      </c>
      <c r="H1829" s="84">
        <v>0</v>
      </c>
      <c r="I1829" s="84"/>
      <c r="J1829" s="84">
        <v>0</v>
      </c>
      <c r="K1829" s="84">
        <v>0</v>
      </c>
      <c r="L1829" s="84">
        <v>0</v>
      </c>
      <c r="M1829" s="84">
        <v>0</v>
      </c>
      <c r="N1829" s="84">
        <v>0</v>
      </c>
    </row>
    <row r="1830" spans="1:14" x14ac:dyDescent="0.25">
      <c r="A1830" s="74" t="s">
        <v>4319</v>
      </c>
      <c r="B1830" s="74">
        <v>9976</v>
      </c>
      <c r="C1830" t="e">
        <f>VLOOKUP(B1830,'Waste Lookups'!$B$1:$C$292,2,FALSE)</f>
        <v>#N/A</v>
      </c>
      <c r="D1830" s="84">
        <v>0</v>
      </c>
      <c r="E1830" s="84">
        <v>0</v>
      </c>
      <c r="F1830" s="84">
        <v>0</v>
      </c>
      <c r="G1830" s="84">
        <v>0</v>
      </c>
      <c r="H1830" s="84">
        <v>0</v>
      </c>
      <c r="I1830" s="84"/>
      <c r="J1830" s="84">
        <v>0</v>
      </c>
      <c r="K1830" s="84">
        <v>0</v>
      </c>
      <c r="L1830" s="84">
        <v>0</v>
      </c>
      <c r="M1830" s="84">
        <v>0</v>
      </c>
      <c r="N1830" s="84">
        <v>0</v>
      </c>
    </row>
    <row r="1831" spans="1:14" x14ac:dyDescent="0.25">
      <c r="A1831" s="74" t="s">
        <v>4321</v>
      </c>
      <c r="B1831" s="74">
        <v>9978</v>
      </c>
      <c r="C1831" t="e">
        <f>VLOOKUP(B1831,'Waste Lookups'!$B$1:$C$292,2,FALSE)</f>
        <v>#N/A</v>
      </c>
      <c r="D1831" s="84">
        <v>0</v>
      </c>
      <c r="E1831" s="84">
        <v>68.072727272727278</v>
      </c>
      <c r="F1831" s="84">
        <v>0</v>
      </c>
      <c r="G1831" s="84">
        <v>0</v>
      </c>
      <c r="H1831" s="84">
        <v>0</v>
      </c>
      <c r="I1831" s="84"/>
      <c r="J1831" s="84">
        <v>0</v>
      </c>
      <c r="K1831" s="84">
        <v>0</v>
      </c>
      <c r="L1831" s="84">
        <v>0</v>
      </c>
      <c r="M1831" s="84">
        <v>0</v>
      </c>
      <c r="N1831" s="84">
        <v>0</v>
      </c>
    </row>
    <row r="1832" spans="1:14" x14ac:dyDescent="0.25">
      <c r="A1832" s="74" t="s">
        <v>4323</v>
      </c>
      <c r="B1832" s="74">
        <v>9979</v>
      </c>
      <c r="C1832" t="e">
        <f>VLOOKUP(B1832,'Waste Lookups'!$B$1:$C$292,2,FALSE)</f>
        <v>#N/A</v>
      </c>
      <c r="D1832" s="84">
        <v>77951.694545454549</v>
      </c>
      <c r="E1832" s="84">
        <v>1480.7563636363636</v>
      </c>
      <c r="F1832" s="84">
        <v>0</v>
      </c>
      <c r="G1832" s="84">
        <v>743.41090909090917</v>
      </c>
      <c r="H1832" s="84">
        <v>0</v>
      </c>
      <c r="I1832" s="84"/>
      <c r="J1832" s="84">
        <v>0</v>
      </c>
      <c r="K1832" s="84">
        <v>0</v>
      </c>
      <c r="L1832" s="84">
        <v>0</v>
      </c>
      <c r="M1832" s="84">
        <v>0</v>
      </c>
      <c r="N1832" s="84">
        <v>0</v>
      </c>
    </row>
    <row r="1833" spans="1:14" x14ac:dyDescent="0.25">
      <c r="A1833" s="74" t="s">
        <v>4325</v>
      </c>
      <c r="B1833" s="74">
        <v>9980</v>
      </c>
      <c r="C1833" t="e">
        <f>VLOOKUP(B1833,'Waste Lookups'!$B$1:$C$292,2,FALSE)</f>
        <v>#N/A</v>
      </c>
      <c r="D1833" s="84">
        <v>0</v>
      </c>
      <c r="E1833" s="84">
        <v>1879.1781818181817</v>
      </c>
      <c r="F1833" s="84">
        <v>0</v>
      </c>
      <c r="G1833" s="84">
        <v>0</v>
      </c>
      <c r="H1833" s="84">
        <v>0</v>
      </c>
      <c r="I1833" s="84"/>
      <c r="J1833" s="84">
        <v>0</v>
      </c>
      <c r="K1833" s="84">
        <v>0</v>
      </c>
      <c r="L1833" s="84">
        <v>0</v>
      </c>
      <c r="M1833" s="84">
        <v>0</v>
      </c>
      <c r="N1833" s="84">
        <v>0</v>
      </c>
    </row>
    <row r="1834" spans="1:14" x14ac:dyDescent="0.25">
      <c r="A1834" s="74" t="s">
        <v>4327</v>
      </c>
      <c r="B1834" s="74">
        <v>9981</v>
      </c>
      <c r="C1834" t="e">
        <f>VLOOKUP(B1834,'Waste Lookups'!$B$1:$C$292,2,FALSE)</f>
        <v>#N/A</v>
      </c>
      <c r="D1834" s="84">
        <v>1410.4145454545455</v>
      </c>
      <c r="E1834" s="84">
        <v>1685.0072727272727</v>
      </c>
      <c r="F1834" s="84">
        <v>0</v>
      </c>
      <c r="G1834" s="84">
        <v>0</v>
      </c>
      <c r="H1834" s="84">
        <v>0</v>
      </c>
      <c r="I1834" s="84"/>
      <c r="J1834" s="84">
        <v>0</v>
      </c>
      <c r="K1834" s="84">
        <v>0</v>
      </c>
      <c r="L1834" s="84">
        <v>0</v>
      </c>
      <c r="M1834" s="84">
        <v>0</v>
      </c>
      <c r="N1834" s="84">
        <v>0</v>
      </c>
    </row>
    <row r="1835" spans="1:14" x14ac:dyDescent="0.25">
      <c r="A1835" s="74" t="s">
        <v>4329</v>
      </c>
      <c r="B1835" s="74">
        <v>9982</v>
      </c>
      <c r="C1835" t="e">
        <f>VLOOKUP(B1835,'Waste Lookups'!$B$1:$C$292,2,FALSE)</f>
        <v>#N/A</v>
      </c>
      <c r="D1835" s="84">
        <v>0</v>
      </c>
      <c r="E1835" s="84">
        <v>1817.0181818181818</v>
      </c>
      <c r="F1835" s="84">
        <v>0</v>
      </c>
      <c r="G1835" s="84">
        <v>1.7999999999999998</v>
      </c>
      <c r="H1835" s="84">
        <v>622.14545454545453</v>
      </c>
      <c r="I1835" s="84"/>
      <c r="J1835" s="84">
        <v>0</v>
      </c>
      <c r="K1835" s="84">
        <v>0</v>
      </c>
      <c r="L1835" s="84">
        <v>0</v>
      </c>
      <c r="M1835" s="84">
        <v>0</v>
      </c>
      <c r="N1835" s="84">
        <v>0</v>
      </c>
    </row>
    <row r="1836" spans="1:14" x14ac:dyDescent="0.25">
      <c r="A1836" s="74" t="s">
        <v>4331</v>
      </c>
      <c r="B1836" s="74">
        <v>9984</v>
      </c>
      <c r="C1836" t="e">
        <f>VLOOKUP(B1836,'Waste Lookups'!$B$1:$C$292,2,FALSE)</f>
        <v>#N/A</v>
      </c>
      <c r="D1836" s="84">
        <v>544.99636363636364</v>
      </c>
      <c r="E1836" s="84">
        <v>1144.8327272727274</v>
      </c>
      <c r="F1836" s="84">
        <v>0</v>
      </c>
      <c r="G1836" s="84">
        <v>0</v>
      </c>
      <c r="H1836" s="84">
        <v>0</v>
      </c>
      <c r="I1836" s="84"/>
      <c r="J1836" s="84">
        <v>0</v>
      </c>
      <c r="K1836" s="84">
        <v>0</v>
      </c>
      <c r="L1836" s="84">
        <v>0</v>
      </c>
      <c r="M1836" s="84">
        <v>0</v>
      </c>
      <c r="N1836" s="84">
        <v>0</v>
      </c>
    </row>
    <row r="1837" spans="1:14" x14ac:dyDescent="0.25">
      <c r="A1837" s="74" t="s">
        <v>4333</v>
      </c>
      <c r="B1837" s="74">
        <v>9985</v>
      </c>
      <c r="C1837" t="e">
        <f>VLOOKUP(B1837,'Waste Lookups'!$B$1:$C$292,2,FALSE)</f>
        <v>#N/A</v>
      </c>
      <c r="D1837" s="84">
        <v>0</v>
      </c>
      <c r="E1837" s="84">
        <v>0</v>
      </c>
      <c r="F1837" s="84">
        <v>0</v>
      </c>
      <c r="G1837" s="84">
        <v>0</v>
      </c>
      <c r="H1837" s="84">
        <v>0</v>
      </c>
      <c r="I1837" s="84"/>
      <c r="J1837" s="84">
        <v>0</v>
      </c>
      <c r="K1837" s="84">
        <v>0</v>
      </c>
      <c r="L1837" s="84">
        <v>0</v>
      </c>
      <c r="M1837" s="84">
        <v>0</v>
      </c>
      <c r="N1837" s="84">
        <v>0</v>
      </c>
    </row>
  </sheetData>
  <mergeCells count="2">
    <mergeCell ref="D1:H1"/>
    <mergeCell ref="J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N1838"/>
  <sheetViews>
    <sheetView topLeftCell="A663" workbookViewId="0">
      <selection activeCell="A678" sqref="A1:A1048576"/>
    </sheetView>
  </sheetViews>
  <sheetFormatPr defaultRowHeight="15" x14ac:dyDescent="0.25"/>
  <cols>
    <col min="1" max="1" width="13.85546875" customWidth="1"/>
    <col min="2" max="2" width="8" bestFit="1" customWidth="1"/>
    <col min="3" max="3" width="55.140625" bestFit="1" customWidth="1"/>
    <col min="4" max="4" width="12" bestFit="1" customWidth="1"/>
    <col min="5" max="5" width="10" bestFit="1" customWidth="1"/>
    <col min="6" max="6" width="12" bestFit="1" customWidth="1"/>
    <col min="7" max="7" width="10" bestFit="1" customWidth="1"/>
    <col min="8" max="8" width="12" bestFit="1" customWidth="1"/>
    <col min="10" max="11" width="12.7109375" bestFit="1" customWidth="1"/>
    <col min="12" max="12" width="12" bestFit="1" customWidth="1"/>
    <col min="13" max="14" width="12.7109375" bestFit="1" customWidth="1"/>
  </cols>
  <sheetData>
    <row r="2" spans="1:14" x14ac:dyDescent="0.25">
      <c r="D2" s="295" t="s">
        <v>821</v>
      </c>
      <c r="E2" s="296"/>
      <c r="F2" s="296"/>
      <c r="G2" s="296"/>
      <c r="H2" s="297"/>
      <c r="J2" s="298" t="s">
        <v>822</v>
      </c>
      <c r="K2" s="299"/>
      <c r="L2" s="299"/>
      <c r="M2" s="299"/>
      <c r="N2" s="300"/>
    </row>
    <row r="3" spans="1:14" ht="45" x14ac:dyDescent="0.25">
      <c r="A3" t="s">
        <v>4340</v>
      </c>
      <c r="B3" s="82" t="s">
        <v>823</v>
      </c>
      <c r="C3" s="82" t="s">
        <v>824</v>
      </c>
      <c r="D3" s="82" t="s">
        <v>4335</v>
      </c>
      <c r="E3" s="82" t="s">
        <v>4336</v>
      </c>
      <c r="F3" s="82" t="s">
        <v>4337</v>
      </c>
      <c r="G3" s="82" t="s">
        <v>4338</v>
      </c>
      <c r="H3" s="82" t="s">
        <v>4339</v>
      </c>
      <c r="J3" s="83" t="s">
        <v>4335</v>
      </c>
      <c r="K3" s="83" t="s">
        <v>4336</v>
      </c>
      <c r="L3" s="83" t="s">
        <v>4337</v>
      </c>
      <c r="M3" s="83" t="s">
        <v>4338</v>
      </c>
      <c r="N3" s="83" t="s">
        <v>4339</v>
      </c>
    </row>
    <row r="4" spans="1:14" x14ac:dyDescent="0.25">
      <c r="A4" t="e">
        <f>VLOOKUP(VALUE(RIGHT(B4,4)),'Waste Lookups'!$B$1:$C$295,2,FALSE)</f>
        <v>#N/A</v>
      </c>
      <c r="B4" s="74" t="s">
        <v>830</v>
      </c>
      <c r="C4" s="74" t="s">
        <v>831</v>
      </c>
      <c r="D4" s="74">
        <v>0</v>
      </c>
      <c r="E4" s="74">
        <v>3.9530400000000001</v>
      </c>
      <c r="F4" s="74">
        <v>0</v>
      </c>
      <c r="G4" s="74">
        <v>0</v>
      </c>
      <c r="H4" s="74">
        <v>0</v>
      </c>
      <c r="I4" s="74"/>
      <c r="J4" s="74">
        <v>0</v>
      </c>
      <c r="K4" s="74">
        <v>0</v>
      </c>
      <c r="L4" s="74">
        <v>0</v>
      </c>
      <c r="M4" s="74">
        <v>0</v>
      </c>
      <c r="N4" s="74">
        <v>0</v>
      </c>
    </row>
    <row r="5" spans="1:14" x14ac:dyDescent="0.25">
      <c r="A5" t="e">
        <f>VLOOKUP(VALUE(RIGHT(B5,4)),'Waste Lookups'!$B$1:$C$295,2,FALSE)</f>
        <v>#N/A</v>
      </c>
      <c r="B5" s="74" t="s">
        <v>832</v>
      </c>
      <c r="C5" s="74" t="s">
        <v>833</v>
      </c>
      <c r="D5" s="74">
        <v>0</v>
      </c>
      <c r="E5" s="74">
        <v>0</v>
      </c>
      <c r="F5" s="74">
        <v>10.145054545454546</v>
      </c>
      <c r="G5" s="74">
        <v>0</v>
      </c>
      <c r="H5" s="74">
        <v>0</v>
      </c>
      <c r="I5" s="74"/>
      <c r="J5" s="74">
        <v>0</v>
      </c>
      <c r="K5" s="74">
        <v>0</v>
      </c>
      <c r="L5" s="74">
        <v>0</v>
      </c>
      <c r="M5" s="74">
        <v>0</v>
      </c>
      <c r="N5" s="74">
        <v>0</v>
      </c>
    </row>
    <row r="6" spans="1:14" x14ac:dyDescent="0.25">
      <c r="A6" t="e">
        <f>VLOOKUP(VALUE(RIGHT(B6,4)),'Waste Lookups'!$B$1:$C$295,2,FALSE)</f>
        <v>#N/A</v>
      </c>
      <c r="B6" s="74" t="s">
        <v>834</v>
      </c>
      <c r="C6" s="74" t="s">
        <v>835</v>
      </c>
      <c r="D6" s="74">
        <v>0</v>
      </c>
      <c r="E6" s="74">
        <v>0</v>
      </c>
      <c r="F6" s="74">
        <v>0</v>
      </c>
      <c r="G6" s="74">
        <v>0</v>
      </c>
      <c r="H6" s="74">
        <v>0</v>
      </c>
      <c r="I6" s="74"/>
      <c r="J6" s="74">
        <v>0</v>
      </c>
      <c r="K6" s="74">
        <v>0</v>
      </c>
      <c r="L6" s="74">
        <v>0</v>
      </c>
      <c r="M6" s="74">
        <v>0</v>
      </c>
      <c r="N6" s="74">
        <v>0</v>
      </c>
    </row>
    <row r="7" spans="1:14" x14ac:dyDescent="0.25">
      <c r="A7" t="e">
        <f>VLOOKUP(VALUE(RIGHT(B7,4)),'Waste Lookups'!$B$1:$C$295,2,FALSE)</f>
        <v>#N/A</v>
      </c>
      <c r="B7" s="74" t="s">
        <v>836</v>
      </c>
      <c r="C7" s="74" t="s">
        <v>837</v>
      </c>
      <c r="D7" s="74">
        <v>111.87539393939393</v>
      </c>
      <c r="E7" s="74">
        <v>0</v>
      </c>
      <c r="F7" s="74">
        <v>0</v>
      </c>
      <c r="G7" s="74">
        <v>0</v>
      </c>
      <c r="H7" s="74">
        <v>0</v>
      </c>
      <c r="I7" s="74"/>
      <c r="J7" s="74">
        <v>0</v>
      </c>
      <c r="K7" s="74">
        <v>0</v>
      </c>
      <c r="L7" s="74">
        <v>0</v>
      </c>
      <c r="M7" s="74">
        <v>0</v>
      </c>
      <c r="N7" s="74">
        <v>0</v>
      </c>
    </row>
    <row r="8" spans="1:14" x14ac:dyDescent="0.25">
      <c r="A8" t="e">
        <f>VLOOKUP(VALUE(RIGHT(B8,4)),'Waste Lookups'!$B$1:$C$295,2,FALSE)</f>
        <v>#N/A</v>
      </c>
      <c r="B8" s="74" t="s">
        <v>838</v>
      </c>
      <c r="C8" s="74" t="s">
        <v>839</v>
      </c>
      <c r="D8" s="74">
        <v>85.768787878787876</v>
      </c>
      <c r="E8" s="74">
        <v>0</v>
      </c>
      <c r="F8" s="74">
        <v>0</v>
      </c>
      <c r="G8" s="74">
        <v>0</v>
      </c>
      <c r="H8" s="74">
        <v>0</v>
      </c>
      <c r="I8" s="74"/>
      <c r="J8" s="74">
        <v>0</v>
      </c>
      <c r="K8" s="74">
        <v>0</v>
      </c>
      <c r="L8" s="74">
        <v>0</v>
      </c>
      <c r="M8" s="74">
        <v>0</v>
      </c>
      <c r="N8" s="74">
        <v>0</v>
      </c>
    </row>
    <row r="9" spans="1:14" x14ac:dyDescent="0.25">
      <c r="A9" t="e">
        <f>VLOOKUP(VALUE(RIGHT(B9,4)),'Waste Lookups'!$B$1:$C$295,2,FALSE)</f>
        <v>#N/A</v>
      </c>
      <c r="B9" s="74" t="s">
        <v>840</v>
      </c>
      <c r="C9" s="74" t="s">
        <v>841</v>
      </c>
      <c r="D9" s="74">
        <v>540.12354545454536</v>
      </c>
      <c r="E9" s="74">
        <v>12.54156</v>
      </c>
      <c r="F9" s="74">
        <v>0</v>
      </c>
      <c r="G9" s="74">
        <v>0</v>
      </c>
      <c r="H9" s="74">
        <v>0.2183900611319266</v>
      </c>
      <c r="I9" s="74"/>
      <c r="J9" s="74">
        <v>0</v>
      </c>
      <c r="K9" s="74">
        <v>0</v>
      </c>
      <c r="L9" s="74">
        <v>0</v>
      </c>
      <c r="M9" s="74">
        <v>0</v>
      </c>
      <c r="N9" s="74">
        <v>0</v>
      </c>
    </row>
    <row r="10" spans="1:14" x14ac:dyDescent="0.25">
      <c r="A10" t="e">
        <f>VLOOKUP(VALUE(RIGHT(B10,4)),'Waste Lookups'!$B$1:$C$295,2,FALSE)</f>
        <v>#N/A</v>
      </c>
      <c r="B10" s="74" t="s">
        <v>842</v>
      </c>
      <c r="C10" s="74" t="s">
        <v>843</v>
      </c>
      <c r="D10" s="74">
        <v>2.868363636363636</v>
      </c>
      <c r="E10" s="74">
        <v>0</v>
      </c>
      <c r="F10" s="74">
        <v>0</v>
      </c>
      <c r="G10" s="74">
        <v>0</v>
      </c>
      <c r="H10" s="74">
        <v>5.9935350029579961</v>
      </c>
      <c r="I10" s="74"/>
      <c r="J10" s="74">
        <v>0</v>
      </c>
      <c r="K10" s="74">
        <v>0</v>
      </c>
      <c r="L10" s="74">
        <v>0</v>
      </c>
      <c r="M10" s="74">
        <v>0</v>
      </c>
      <c r="N10" s="74">
        <v>0</v>
      </c>
    </row>
    <row r="11" spans="1:14" x14ac:dyDescent="0.25">
      <c r="A11" t="e">
        <f>VLOOKUP(VALUE(RIGHT(B11,4)),'Waste Lookups'!$B$1:$C$295,2,FALSE)</f>
        <v>#N/A</v>
      </c>
      <c r="B11" s="74" t="s">
        <v>844</v>
      </c>
      <c r="C11" s="74" t="s">
        <v>845</v>
      </c>
      <c r="D11" s="74">
        <v>0</v>
      </c>
      <c r="E11" s="74">
        <v>0</v>
      </c>
      <c r="F11" s="74">
        <v>0</v>
      </c>
      <c r="G11" s="74">
        <v>0</v>
      </c>
      <c r="H11" s="74">
        <v>0</v>
      </c>
      <c r="I11" s="74"/>
      <c r="J11" s="74">
        <v>0</v>
      </c>
      <c r="K11" s="74">
        <v>0</v>
      </c>
      <c r="L11" s="74">
        <v>0</v>
      </c>
      <c r="M11" s="74">
        <v>0</v>
      </c>
      <c r="N11" s="74">
        <v>0</v>
      </c>
    </row>
    <row r="12" spans="1:14" x14ac:dyDescent="0.25">
      <c r="A12" t="e">
        <f>VLOOKUP(VALUE(RIGHT(B12,4)),'Waste Lookups'!$B$1:$C$295,2,FALSE)</f>
        <v>#N/A</v>
      </c>
      <c r="B12" s="74" t="s">
        <v>846</v>
      </c>
      <c r="C12" s="74" t="s">
        <v>847</v>
      </c>
      <c r="D12" s="74">
        <v>0.48139393939393943</v>
      </c>
      <c r="E12" s="74">
        <v>7.3317599999999992</v>
      </c>
      <c r="F12" s="74">
        <v>0</v>
      </c>
      <c r="G12" s="74">
        <v>0</v>
      </c>
      <c r="H12" s="74">
        <v>0</v>
      </c>
      <c r="I12" s="74"/>
      <c r="J12" s="74">
        <v>0</v>
      </c>
      <c r="K12" s="74">
        <v>0</v>
      </c>
      <c r="L12" s="74">
        <v>0</v>
      </c>
      <c r="M12" s="74">
        <v>0</v>
      </c>
      <c r="N12" s="74">
        <v>0</v>
      </c>
    </row>
    <row r="13" spans="1:14" x14ac:dyDescent="0.25">
      <c r="A13" t="e">
        <f>VLOOKUP(VALUE(RIGHT(B13,4)),'Waste Lookups'!$B$1:$C$295,2,FALSE)</f>
        <v>#N/A</v>
      </c>
      <c r="B13" s="74" t="s">
        <v>848</v>
      </c>
      <c r="C13" s="74" t="s">
        <v>849</v>
      </c>
      <c r="D13" s="74">
        <v>5.1024242424242416</v>
      </c>
      <c r="E13" s="74">
        <v>55.017420000000001</v>
      </c>
      <c r="F13" s="74">
        <v>0</v>
      </c>
      <c r="G13" s="74">
        <v>0</v>
      </c>
      <c r="H13" s="74">
        <v>0</v>
      </c>
      <c r="I13" s="74"/>
      <c r="J13" s="74">
        <v>0</v>
      </c>
      <c r="K13" s="74">
        <v>0</v>
      </c>
      <c r="L13" s="74">
        <v>0</v>
      </c>
      <c r="M13" s="74">
        <v>0</v>
      </c>
      <c r="N13" s="74">
        <v>0</v>
      </c>
    </row>
    <row r="14" spans="1:14" x14ac:dyDescent="0.25">
      <c r="A14" t="e">
        <f>VLOOKUP(VALUE(RIGHT(B14,4)),'Waste Lookups'!$B$1:$C$295,2,FALSE)</f>
        <v>#N/A</v>
      </c>
      <c r="B14" s="74" t="s">
        <v>850</v>
      </c>
      <c r="C14" s="74" t="s">
        <v>851</v>
      </c>
      <c r="D14" s="74">
        <v>2815.4310909090909</v>
      </c>
      <c r="E14" s="74">
        <v>0</v>
      </c>
      <c r="F14" s="74">
        <v>0</v>
      </c>
      <c r="G14" s="74">
        <v>0</v>
      </c>
      <c r="H14" s="74">
        <v>0</v>
      </c>
      <c r="I14" s="74"/>
      <c r="J14" s="74">
        <v>0</v>
      </c>
      <c r="K14" s="74">
        <v>0</v>
      </c>
      <c r="L14" s="74">
        <v>0</v>
      </c>
      <c r="M14" s="74">
        <v>0</v>
      </c>
      <c r="N14" s="74">
        <v>0</v>
      </c>
    </row>
    <row r="15" spans="1:14" x14ac:dyDescent="0.25">
      <c r="A15" t="e">
        <f>VLOOKUP(VALUE(RIGHT(B15,4)),'Waste Lookups'!$B$1:$C$295,2,FALSE)</f>
        <v>#N/A</v>
      </c>
      <c r="B15" s="74" t="s">
        <v>852</v>
      </c>
      <c r="C15" s="74" t="s">
        <v>853</v>
      </c>
      <c r="D15" s="74">
        <v>0</v>
      </c>
      <c r="E15" s="74">
        <v>13.608180000000001</v>
      </c>
      <c r="F15" s="74">
        <v>0.12607272727272728</v>
      </c>
      <c r="G15" s="74">
        <v>0.20798999999999998</v>
      </c>
      <c r="H15" s="74">
        <v>0</v>
      </c>
      <c r="I15" s="74"/>
      <c r="J15" s="74">
        <v>0</v>
      </c>
      <c r="K15" s="74">
        <v>0</v>
      </c>
      <c r="L15" s="74">
        <v>0</v>
      </c>
      <c r="M15" s="74">
        <v>0</v>
      </c>
      <c r="N15" s="74">
        <v>0</v>
      </c>
    </row>
    <row r="16" spans="1:14" x14ac:dyDescent="0.25">
      <c r="A16" t="e">
        <f>VLOOKUP(VALUE(RIGHT(B16,4)),'Waste Lookups'!$B$1:$C$295,2,FALSE)</f>
        <v>#N/A</v>
      </c>
      <c r="B16" s="74" t="s">
        <v>854</v>
      </c>
      <c r="C16" s="74" t="s">
        <v>855</v>
      </c>
      <c r="D16" s="74">
        <v>0</v>
      </c>
      <c r="E16" s="74">
        <v>18.91422</v>
      </c>
      <c r="F16" s="74">
        <v>8.4036363636363645E-2</v>
      </c>
      <c r="G16" s="74">
        <v>0.31202999999999997</v>
      </c>
      <c r="H16" s="74">
        <v>0</v>
      </c>
      <c r="I16" s="74"/>
      <c r="J16" s="74">
        <v>0</v>
      </c>
      <c r="K16" s="74">
        <v>0</v>
      </c>
      <c r="L16" s="74">
        <v>0</v>
      </c>
      <c r="M16" s="74">
        <v>0</v>
      </c>
      <c r="N16" s="74">
        <v>0</v>
      </c>
    </row>
    <row r="17" spans="1:14" x14ac:dyDescent="0.25">
      <c r="A17" t="e">
        <f>VLOOKUP(VALUE(RIGHT(B17,4)),'Waste Lookups'!$B$1:$C$295,2,FALSE)</f>
        <v>#N/A</v>
      </c>
      <c r="B17" s="74" t="s">
        <v>856</v>
      </c>
      <c r="C17" s="74" t="s">
        <v>857</v>
      </c>
      <c r="D17" s="74">
        <v>0</v>
      </c>
      <c r="E17" s="74">
        <v>1.0655999999999999</v>
      </c>
      <c r="F17" s="74">
        <v>0</v>
      </c>
      <c r="G17" s="74">
        <v>0</v>
      </c>
      <c r="H17" s="74">
        <v>0</v>
      </c>
      <c r="I17" s="74"/>
      <c r="J17" s="74">
        <v>0</v>
      </c>
      <c r="K17" s="74">
        <v>0</v>
      </c>
      <c r="L17" s="74">
        <v>0</v>
      </c>
      <c r="M17" s="74">
        <v>0</v>
      </c>
      <c r="N17" s="74">
        <v>0</v>
      </c>
    </row>
    <row r="18" spans="1:14" x14ac:dyDescent="0.25">
      <c r="A18" t="e">
        <f>VLOOKUP(VALUE(RIGHT(B18,4)),'Waste Lookups'!$B$1:$C$295,2,FALSE)</f>
        <v>#N/A</v>
      </c>
      <c r="B18" s="74" t="s">
        <v>858</v>
      </c>
      <c r="C18" s="74" t="s">
        <v>859</v>
      </c>
      <c r="D18" s="74">
        <v>0</v>
      </c>
      <c r="E18" s="74">
        <v>5.6047199999999995</v>
      </c>
      <c r="F18" s="74">
        <v>8.4036363636363645E-2</v>
      </c>
      <c r="G18" s="74">
        <v>0.31202999999999997</v>
      </c>
      <c r="H18" s="74">
        <v>0</v>
      </c>
      <c r="I18" s="74"/>
      <c r="J18" s="74">
        <v>0</v>
      </c>
      <c r="K18" s="74">
        <v>0</v>
      </c>
      <c r="L18" s="74">
        <v>0</v>
      </c>
      <c r="M18" s="74">
        <v>0</v>
      </c>
      <c r="N18" s="74">
        <v>0</v>
      </c>
    </row>
    <row r="19" spans="1:14" x14ac:dyDescent="0.25">
      <c r="A19" t="e">
        <f>VLOOKUP(VALUE(RIGHT(B19,4)),'Waste Lookups'!$B$1:$C$295,2,FALSE)</f>
        <v>#N/A</v>
      </c>
      <c r="B19" s="74" t="s">
        <v>860</v>
      </c>
      <c r="C19" s="74" t="s">
        <v>861</v>
      </c>
      <c r="D19" s="74">
        <v>0.18581818181818183</v>
      </c>
      <c r="E19" s="74">
        <v>4.1321400000000006</v>
      </c>
      <c r="F19" s="74">
        <v>0</v>
      </c>
      <c r="G19" s="74">
        <v>0</v>
      </c>
      <c r="H19" s="74">
        <v>0</v>
      </c>
      <c r="I19" s="74"/>
      <c r="J19" s="74">
        <v>0</v>
      </c>
      <c r="K19" s="74">
        <v>0</v>
      </c>
      <c r="L19" s="74">
        <v>0</v>
      </c>
      <c r="M19" s="74">
        <v>0</v>
      </c>
      <c r="N19" s="74">
        <v>0</v>
      </c>
    </row>
    <row r="20" spans="1:14" x14ac:dyDescent="0.25">
      <c r="A20" t="e">
        <f>VLOOKUP(VALUE(RIGHT(B20,4)),'Waste Lookups'!$B$1:$C$295,2,FALSE)</f>
        <v>#N/A</v>
      </c>
      <c r="B20" s="74" t="s">
        <v>862</v>
      </c>
      <c r="C20" s="74" t="s">
        <v>863</v>
      </c>
      <c r="D20" s="74">
        <v>0</v>
      </c>
      <c r="E20" s="74">
        <v>20.831040000000002</v>
      </c>
      <c r="F20" s="74">
        <v>0.3032727272727273</v>
      </c>
      <c r="G20" s="74">
        <v>1.0852199999999999</v>
      </c>
      <c r="H20" s="74">
        <v>0</v>
      </c>
      <c r="I20" s="74"/>
      <c r="J20" s="74">
        <v>0</v>
      </c>
      <c r="K20" s="74">
        <v>0</v>
      </c>
      <c r="L20" s="74">
        <v>0</v>
      </c>
      <c r="M20" s="74">
        <v>0</v>
      </c>
      <c r="N20" s="74">
        <v>0</v>
      </c>
    </row>
    <row r="21" spans="1:14" x14ac:dyDescent="0.25">
      <c r="A21" t="e">
        <f>VLOOKUP(VALUE(RIGHT(B21,4)),'Waste Lookups'!$B$1:$C$295,2,FALSE)</f>
        <v>#N/A</v>
      </c>
      <c r="B21" s="74" t="s">
        <v>864</v>
      </c>
      <c r="C21" s="74" t="s">
        <v>865</v>
      </c>
      <c r="D21" s="74">
        <v>0</v>
      </c>
      <c r="E21" s="74">
        <v>0</v>
      </c>
      <c r="F21" s="74">
        <v>5.6381818181818186E-2</v>
      </c>
      <c r="G21" s="74">
        <v>0</v>
      </c>
      <c r="H21" s="74">
        <v>0.13251824097811082</v>
      </c>
      <c r="I21" s="74"/>
      <c r="J21" s="74">
        <v>0</v>
      </c>
      <c r="K21" s="74">
        <v>0</v>
      </c>
      <c r="L21" s="74">
        <v>0</v>
      </c>
      <c r="M21" s="74">
        <v>0</v>
      </c>
      <c r="N21" s="74">
        <v>0</v>
      </c>
    </row>
    <row r="22" spans="1:14" x14ac:dyDescent="0.25">
      <c r="A22" t="e">
        <f>VLOOKUP(VALUE(RIGHT(B22,4)),'Waste Lookups'!$B$1:$C$295,2,FALSE)</f>
        <v>#N/A</v>
      </c>
      <c r="B22" s="74" t="s">
        <v>866</v>
      </c>
      <c r="C22" s="74" t="s">
        <v>867</v>
      </c>
      <c r="D22" s="74">
        <v>0</v>
      </c>
      <c r="E22" s="74">
        <v>46.628999999999998</v>
      </c>
      <c r="F22" s="74">
        <v>1.1735818181818181</v>
      </c>
      <c r="G22" s="74">
        <v>22.0563</v>
      </c>
      <c r="H22" s="74">
        <v>0.13251824097811082</v>
      </c>
      <c r="I22" s="74"/>
      <c r="J22" s="74">
        <v>0</v>
      </c>
      <c r="K22" s="74">
        <v>0</v>
      </c>
      <c r="L22" s="74">
        <v>0</v>
      </c>
      <c r="M22" s="74">
        <v>0</v>
      </c>
      <c r="N22" s="74">
        <v>0</v>
      </c>
    </row>
    <row r="23" spans="1:14" x14ac:dyDescent="0.25">
      <c r="A23" t="e">
        <f>VLOOKUP(VALUE(RIGHT(B23,4)),'Waste Lookups'!$B$1:$C$295,2,FALSE)</f>
        <v>#N/A</v>
      </c>
      <c r="B23" s="74" t="s">
        <v>868</v>
      </c>
      <c r="C23" s="74" t="s">
        <v>869</v>
      </c>
      <c r="D23" s="74">
        <v>0</v>
      </c>
      <c r="E23" s="74">
        <v>20.97</v>
      </c>
      <c r="F23" s="74">
        <v>3.272727272727273E-2</v>
      </c>
      <c r="G23" s="74">
        <v>0</v>
      </c>
      <c r="H23" s="74">
        <v>0</v>
      </c>
      <c r="I23" s="74"/>
      <c r="J23" s="74">
        <v>0</v>
      </c>
      <c r="K23" s="74">
        <v>0</v>
      </c>
      <c r="L23" s="74">
        <v>0</v>
      </c>
      <c r="M23" s="74">
        <v>0</v>
      </c>
      <c r="N23" s="74">
        <v>0</v>
      </c>
    </row>
    <row r="24" spans="1:14" x14ac:dyDescent="0.25">
      <c r="A24" t="e">
        <f>VLOOKUP(VALUE(RIGHT(B24,4)),'Waste Lookups'!$B$1:$C$295,2,FALSE)</f>
        <v>#N/A</v>
      </c>
      <c r="B24" s="74" t="s">
        <v>870</v>
      </c>
      <c r="C24" s="74" t="s">
        <v>871</v>
      </c>
      <c r="D24" s="74">
        <v>0</v>
      </c>
      <c r="E24" s="74">
        <v>0</v>
      </c>
      <c r="F24" s="74">
        <v>0</v>
      </c>
      <c r="G24" s="74">
        <v>17.222399999999997</v>
      </c>
      <c r="H24" s="74">
        <v>0.13251824097811082</v>
      </c>
      <c r="I24" s="74"/>
      <c r="J24" s="74">
        <v>0</v>
      </c>
      <c r="K24" s="74">
        <v>0</v>
      </c>
      <c r="L24" s="74">
        <v>0</v>
      </c>
      <c r="M24" s="74">
        <v>0</v>
      </c>
      <c r="N24" s="74">
        <v>0</v>
      </c>
    </row>
    <row r="25" spans="1:14" x14ac:dyDescent="0.25">
      <c r="A25" t="e">
        <f>VLOOKUP(VALUE(RIGHT(B25,4)),'Waste Lookups'!$B$1:$C$295,2,FALSE)</f>
        <v>#N/A</v>
      </c>
      <c r="B25" s="74" t="s">
        <v>872</v>
      </c>
      <c r="C25" s="74" t="s">
        <v>873</v>
      </c>
      <c r="D25" s="74">
        <v>0</v>
      </c>
      <c r="E25" s="74">
        <v>2.3288399999999996</v>
      </c>
      <c r="F25" s="74">
        <v>0.58774545454545457</v>
      </c>
      <c r="G25" s="74">
        <v>0</v>
      </c>
      <c r="H25" s="74">
        <v>0</v>
      </c>
      <c r="I25" s="74"/>
      <c r="J25" s="74">
        <v>0</v>
      </c>
      <c r="K25" s="74">
        <v>0</v>
      </c>
      <c r="L25" s="74">
        <v>0</v>
      </c>
      <c r="M25" s="74">
        <v>0</v>
      </c>
      <c r="N25" s="74">
        <v>0</v>
      </c>
    </row>
    <row r="26" spans="1:14" x14ac:dyDescent="0.25">
      <c r="A26" t="e">
        <f>VLOOKUP(VALUE(RIGHT(B26,4)),'Waste Lookups'!$B$1:$C$295,2,FALSE)</f>
        <v>#N/A</v>
      </c>
      <c r="B26" s="74" t="s">
        <v>874</v>
      </c>
      <c r="C26" s="74" t="s">
        <v>875</v>
      </c>
      <c r="D26" s="74">
        <v>0</v>
      </c>
      <c r="E26" s="74">
        <v>0.87983999999999996</v>
      </c>
      <c r="F26" s="74">
        <v>0</v>
      </c>
      <c r="G26" s="74">
        <v>0.59670000000000001</v>
      </c>
      <c r="H26" s="74">
        <v>0</v>
      </c>
      <c r="I26" s="74"/>
      <c r="J26" s="74">
        <v>0</v>
      </c>
      <c r="K26" s="74">
        <v>0</v>
      </c>
      <c r="L26" s="74">
        <v>0</v>
      </c>
      <c r="M26" s="74">
        <v>0</v>
      </c>
      <c r="N26" s="74">
        <v>0</v>
      </c>
    </row>
    <row r="27" spans="1:14" x14ac:dyDescent="0.25">
      <c r="A27" t="e">
        <f>VLOOKUP(VALUE(RIGHT(B27,4)),'Waste Lookups'!$B$1:$C$295,2,FALSE)</f>
        <v>#N/A</v>
      </c>
      <c r="B27" s="74" t="s">
        <v>876</v>
      </c>
      <c r="C27" s="74" t="s">
        <v>877</v>
      </c>
      <c r="D27" s="74">
        <v>0</v>
      </c>
      <c r="E27" s="74">
        <v>0</v>
      </c>
      <c r="F27" s="74">
        <v>1.3238181818181818</v>
      </c>
      <c r="G27" s="74">
        <v>0</v>
      </c>
      <c r="H27" s="74">
        <v>0</v>
      </c>
      <c r="I27" s="74"/>
      <c r="J27" s="74">
        <v>0</v>
      </c>
      <c r="K27" s="74">
        <v>0</v>
      </c>
      <c r="L27" s="74">
        <v>0</v>
      </c>
      <c r="M27" s="74">
        <v>0</v>
      </c>
      <c r="N27" s="74">
        <v>0</v>
      </c>
    </row>
    <row r="28" spans="1:14" x14ac:dyDescent="0.25">
      <c r="A28" t="e">
        <f>VLOOKUP(VALUE(RIGHT(B28,4)),'Waste Lookups'!$B$1:$C$295,2,FALSE)</f>
        <v>#N/A</v>
      </c>
      <c r="B28" s="74" t="s">
        <v>878</v>
      </c>
      <c r="C28" s="74" t="s">
        <v>879</v>
      </c>
      <c r="D28" s="74">
        <v>0</v>
      </c>
      <c r="E28" s="74">
        <v>8.7573600000000003</v>
      </c>
      <c r="F28" s="74">
        <v>1.3445818181818183</v>
      </c>
      <c r="G28" s="74">
        <v>5.0029199999999996</v>
      </c>
      <c r="H28" s="74">
        <v>0</v>
      </c>
      <c r="I28" s="74"/>
      <c r="J28" s="74">
        <v>0</v>
      </c>
      <c r="K28" s="74">
        <v>0</v>
      </c>
      <c r="L28" s="74">
        <v>0</v>
      </c>
      <c r="M28" s="74">
        <v>0</v>
      </c>
      <c r="N28" s="74">
        <v>0</v>
      </c>
    </row>
    <row r="29" spans="1:14" x14ac:dyDescent="0.25">
      <c r="A29" t="e">
        <f>VLOOKUP(VALUE(RIGHT(B29,4)),'Waste Lookups'!$B$1:$C$295,2,FALSE)</f>
        <v>#N/A</v>
      </c>
      <c r="B29" s="74" t="s">
        <v>880</v>
      </c>
      <c r="C29" s="74" t="s">
        <v>881</v>
      </c>
      <c r="D29" s="74">
        <v>0</v>
      </c>
      <c r="E29" s="74">
        <v>0</v>
      </c>
      <c r="F29" s="74">
        <v>0.6733818181818183</v>
      </c>
      <c r="G29" s="74">
        <v>0</v>
      </c>
      <c r="H29" s="74">
        <v>0</v>
      </c>
      <c r="I29" s="74"/>
      <c r="J29" s="74">
        <v>0</v>
      </c>
      <c r="K29" s="74">
        <v>0</v>
      </c>
      <c r="L29" s="74">
        <v>0</v>
      </c>
      <c r="M29" s="74">
        <v>0</v>
      </c>
      <c r="N29" s="74">
        <v>0</v>
      </c>
    </row>
    <row r="30" spans="1:14" x14ac:dyDescent="0.25">
      <c r="A30" t="e">
        <f>VLOOKUP(VALUE(RIGHT(B30,4)),'Waste Lookups'!$B$1:$C$295,2,FALSE)</f>
        <v>#N/A</v>
      </c>
      <c r="B30" s="74" t="s">
        <v>882</v>
      </c>
      <c r="C30" s="74" t="s">
        <v>883</v>
      </c>
      <c r="D30" s="74">
        <v>0</v>
      </c>
      <c r="E30" s="74">
        <v>0</v>
      </c>
      <c r="F30" s="74">
        <v>0.46083636363636366</v>
      </c>
      <c r="G30" s="74">
        <v>2.6112599999999997</v>
      </c>
      <c r="H30" s="74">
        <v>0</v>
      </c>
      <c r="I30" s="74"/>
      <c r="J30" s="74">
        <v>0</v>
      </c>
      <c r="K30" s="74">
        <v>0</v>
      </c>
      <c r="L30" s="74">
        <v>0</v>
      </c>
      <c r="M30" s="74">
        <v>0</v>
      </c>
      <c r="N30" s="74">
        <v>0</v>
      </c>
    </row>
    <row r="31" spans="1:14" x14ac:dyDescent="0.25">
      <c r="A31" t="e">
        <f>VLOOKUP(VALUE(RIGHT(B31,4)),'Waste Lookups'!$B$1:$C$295,2,FALSE)</f>
        <v>#N/A</v>
      </c>
      <c r="B31" s="74" t="s">
        <v>884</v>
      </c>
      <c r="C31" s="74" t="s">
        <v>885</v>
      </c>
      <c r="D31" s="74">
        <v>0</v>
      </c>
      <c r="E31" s="74">
        <v>0</v>
      </c>
      <c r="F31" s="74">
        <v>0.59316363636363645</v>
      </c>
      <c r="G31" s="74">
        <v>7.3699199999999996</v>
      </c>
      <c r="H31" s="74">
        <v>0</v>
      </c>
      <c r="I31" s="74"/>
      <c r="J31" s="74">
        <v>0</v>
      </c>
      <c r="K31" s="74">
        <v>0</v>
      </c>
      <c r="L31" s="74">
        <v>0</v>
      </c>
      <c r="M31" s="74">
        <v>0</v>
      </c>
      <c r="N31" s="74">
        <v>0</v>
      </c>
    </row>
    <row r="32" spans="1:14" x14ac:dyDescent="0.25">
      <c r="A32" t="e">
        <f>VLOOKUP(VALUE(RIGHT(B32,4)),'Waste Lookups'!$B$1:$C$295,2,FALSE)</f>
        <v>#N/A</v>
      </c>
      <c r="B32" s="74" t="s">
        <v>886</v>
      </c>
      <c r="C32" s="74" t="s">
        <v>887</v>
      </c>
      <c r="D32" s="74">
        <v>0</v>
      </c>
      <c r="E32" s="74">
        <v>0</v>
      </c>
      <c r="F32" s="74">
        <v>3.272727272727273E-2</v>
      </c>
      <c r="G32" s="74">
        <v>0</v>
      </c>
      <c r="H32" s="74">
        <v>0</v>
      </c>
      <c r="I32" s="74"/>
      <c r="J32" s="74">
        <v>0</v>
      </c>
      <c r="K32" s="74">
        <v>0</v>
      </c>
      <c r="L32" s="74">
        <v>0</v>
      </c>
      <c r="M32" s="74">
        <v>0</v>
      </c>
      <c r="N32" s="74">
        <v>0</v>
      </c>
    </row>
    <row r="33" spans="1:14" x14ac:dyDescent="0.25">
      <c r="A33" t="e">
        <f>VLOOKUP(VALUE(RIGHT(B33,4)),'Waste Lookups'!$B$1:$C$295,2,FALSE)</f>
        <v>#N/A</v>
      </c>
      <c r="B33" s="74" t="s">
        <v>888</v>
      </c>
      <c r="C33" s="74" t="s">
        <v>889</v>
      </c>
      <c r="D33" s="74">
        <v>0</v>
      </c>
      <c r="E33" s="74">
        <v>0</v>
      </c>
      <c r="F33" s="74">
        <v>0.49052727272727276</v>
      </c>
      <c r="G33" s="74">
        <v>2.39886</v>
      </c>
      <c r="H33" s="74">
        <v>0</v>
      </c>
      <c r="I33" s="74"/>
      <c r="J33" s="74">
        <v>0</v>
      </c>
      <c r="K33" s="74">
        <v>0</v>
      </c>
      <c r="L33" s="74">
        <v>0</v>
      </c>
      <c r="M33" s="74">
        <v>0</v>
      </c>
      <c r="N33" s="74">
        <v>0</v>
      </c>
    </row>
    <row r="34" spans="1:14" x14ac:dyDescent="0.25">
      <c r="A34" t="e">
        <f>VLOOKUP(VALUE(RIGHT(B34,4)),'Waste Lookups'!$B$1:$C$295,2,FALSE)</f>
        <v>#N/A</v>
      </c>
      <c r="B34" s="74" t="s">
        <v>890</v>
      </c>
      <c r="C34" s="74" t="s">
        <v>891</v>
      </c>
      <c r="D34" s="74">
        <v>1.3043636363636364</v>
      </c>
      <c r="E34" s="74">
        <v>0</v>
      </c>
      <c r="F34" s="74">
        <v>3.272727272727273E-2</v>
      </c>
      <c r="G34" s="74">
        <v>0</v>
      </c>
      <c r="H34" s="74">
        <v>0</v>
      </c>
      <c r="I34" s="74"/>
      <c r="J34" s="74">
        <v>0</v>
      </c>
      <c r="K34" s="74">
        <v>0</v>
      </c>
      <c r="L34" s="74">
        <v>0</v>
      </c>
      <c r="M34" s="74">
        <v>0</v>
      </c>
      <c r="N34" s="74">
        <v>0</v>
      </c>
    </row>
    <row r="35" spans="1:14" x14ac:dyDescent="0.25">
      <c r="A35" t="e">
        <f>VLOOKUP(VALUE(RIGHT(B35,4)),'Waste Lookups'!$B$1:$C$295,2,FALSE)</f>
        <v>#N/A</v>
      </c>
      <c r="B35" s="74" t="s">
        <v>892</v>
      </c>
      <c r="C35" s="74" t="s">
        <v>893</v>
      </c>
      <c r="D35" s="74">
        <v>9.1390303030303031</v>
      </c>
      <c r="E35" s="74">
        <v>6.7651199999999996</v>
      </c>
      <c r="F35" s="74">
        <v>0</v>
      </c>
      <c r="G35" s="74">
        <v>0</v>
      </c>
      <c r="H35" s="74">
        <v>0</v>
      </c>
      <c r="I35" s="74"/>
      <c r="J35" s="74">
        <v>0</v>
      </c>
      <c r="K35" s="74">
        <v>0</v>
      </c>
      <c r="L35" s="74">
        <v>0</v>
      </c>
      <c r="M35" s="74">
        <v>0</v>
      </c>
      <c r="N35" s="74">
        <v>0</v>
      </c>
    </row>
    <row r="36" spans="1:14" x14ac:dyDescent="0.25">
      <c r="A36" t="e">
        <f>VLOOKUP(VALUE(RIGHT(B36,4)),'Waste Lookups'!$B$1:$C$295,2,FALSE)</f>
        <v>#N/A</v>
      </c>
      <c r="B36" s="74" t="s">
        <v>894</v>
      </c>
      <c r="C36" s="74" t="s">
        <v>895</v>
      </c>
      <c r="D36" s="74">
        <v>6.3242424242424253E-2</v>
      </c>
      <c r="E36" s="74">
        <v>0</v>
      </c>
      <c r="F36" s="74">
        <v>0</v>
      </c>
      <c r="G36" s="74">
        <v>0</v>
      </c>
      <c r="H36" s="74">
        <v>0</v>
      </c>
      <c r="I36" s="74"/>
      <c r="J36" s="74">
        <v>0</v>
      </c>
      <c r="K36" s="74">
        <v>0</v>
      </c>
      <c r="L36" s="74">
        <v>0</v>
      </c>
      <c r="M36" s="74">
        <v>0</v>
      </c>
      <c r="N36" s="74">
        <v>0</v>
      </c>
    </row>
    <row r="37" spans="1:14" x14ac:dyDescent="0.25">
      <c r="A37" t="e">
        <f>VLOOKUP(VALUE(RIGHT(B37,4)),'Waste Lookups'!$B$1:$C$295,2,FALSE)</f>
        <v>#N/A</v>
      </c>
      <c r="B37" s="74" t="s">
        <v>896</v>
      </c>
      <c r="C37" s="74" t="s">
        <v>897</v>
      </c>
      <c r="D37" s="74">
        <v>0</v>
      </c>
      <c r="E37" s="74">
        <v>1.4844599999999999</v>
      </c>
      <c r="F37" s="74">
        <v>0</v>
      </c>
      <c r="G37" s="74">
        <v>0</v>
      </c>
      <c r="H37" s="74">
        <v>0</v>
      </c>
      <c r="I37" s="74"/>
      <c r="J37" s="74">
        <v>0</v>
      </c>
      <c r="K37" s="74">
        <v>0</v>
      </c>
      <c r="L37" s="74">
        <v>0</v>
      </c>
      <c r="M37" s="74">
        <v>0</v>
      </c>
      <c r="N37" s="74">
        <v>0</v>
      </c>
    </row>
    <row r="38" spans="1:14" x14ac:dyDescent="0.25">
      <c r="A38" t="e">
        <f>VLOOKUP(VALUE(RIGHT(B38,4)),'Waste Lookups'!$B$1:$C$295,2,FALSE)</f>
        <v>#N/A</v>
      </c>
      <c r="B38" s="74" t="s">
        <v>898</v>
      </c>
      <c r="C38" s="74" t="s">
        <v>899</v>
      </c>
      <c r="D38" s="74">
        <v>0.37372727272727269</v>
      </c>
      <c r="E38" s="74">
        <v>0.79122000000000003</v>
      </c>
      <c r="F38" s="74">
        <v>0</v>
      </c>
      <c r="G38" s="74">
        <v>0</v>
      </c>
      <c r="H38" s="74">
        <v>0</v>
      </c>
      <c r="I38" s="74"/>
      <c r="J38" s="74">
        <v>0</v>
      </c>
      <c r="K38" s="74">
        <v>0</v>
      </c>
      <c r="L38" s="74">
        <v>0</v>
      </c>
      <c r="M38" s="74">
        <v>0</v>
      </c>
      <c r="N38" s="74">
        <v>0</v>
      </c>
    </row>
    <row r="39" spans="1:14" x14ac:dyDescent="0.25">
      <c r="A39" t="e">
        <f>VLOOKUP(VALUE(RIGHT(B39,4)),'Waste Lookups'!$B$1:$C$295,2,FALSE)</f>
        <v>#N/A</v>
      </c>
      <c r="B39" s="74" t="s">
        <v>900</v>
      </c>
      <c r="C39" s="74" t="s">
        <v>901</v>
      </c>
      <c r="D39" s="74">
        <v>0</v>
      </c>
      <c r="E39" s="74">
        <v>548.38152000000002</v>
      </c>
      <c r="F39" s="74">
        <v>28.569418181818182</v>
      </c>
      <c r="G39" s="74">
        <v>0</v>
      </c>
      <c r="H39" s="74">
        <v>0</v>
      </c>
      <c r="I39" s="74"/>
      <c r="J39" s="74">
        <v>0</v>
      </c>
      <c r="K39" s="74">
        <v>0</v>
      </c>
      <c r="L39" s="74">
        <v>0</v>
      </c>
      <c r="M39" s="74">
        <v>0</v>
      </c>
      <c r="N39" s="74">
        <v>0</v>
      </c>
    </row>
    <row r="40" spans="1:14" x14ac:dyDescent="0.25">
      <c r="A40" t="e">
        <f>VLOOKUP(VALUE(RIGHT(B40,4)),'Waste Lookups'!$B$1:$C$295,2,FALSE)</f>
        <v>#N/A</v>
      </c>
      <c r="B40" s="74" t="s">
        <v>902</v>
      </c>
      <c r="C40" s="74" t="s">
        <v>903</v>
      </c>
      <c r="D40" s="74">
        <v>380.28060606060609</v>
      </c>
      <c r="E40" s="74">
        <v>283.5933</v>
      </c>
      <c r="F40" s="74">
        <v>0.31425454545454551</v>
      </c>
      <c r="G40" s="74">
        <v>2.9691000000000001</v>
      </c>
      <c r="H40" s="74">
        <v>21.844085979096821</v>
      </c>
      <c r="I40" s="74"/>
      <c r="J40" s="74">
        <v>0</v>
      </c>
      <c r="K40" s="74">
        <v>0</v>
      </c>
      <c r="L40" s="74">
        <v>0</v>
      </c>
      <c r="M40" s="74">
        <v>0</v>
      </c>
      <c r="N40" s="74">
        <v>0</v>
      </c>
    </row>
    <row r="41" spans="1:14" x14ac:dyDescent="0.25">
      <c r="A41" t="e">
        <f>VLOOKUP(VALUE(RIGHT(B41,4)),'Waste Lookups'!$B$1:$C$295,2,FALSE)</f>
        <v>#N/A</v>
      </c>
      <c r="B41" s="74" t="s">
        <v>904</v>
      </c>
      <c r="C41" s="74" t="s">
        <v>905</v>
      </c>
      <c r="D41" s="74">
        <v>1096.2659393939396</v>
      </c>
      <c r="E41" s="74">
        <v>0</v>
      </c>
      <c r="F41" s="74">
        <v>0</v>
      </c>
      <c r="G41" s="74">
        <v>0</v>
      </c>
      <c r="H41" s="74">
        <v>0</v>
      </c>
      <c r="I41" s="74"/>
      <c r="J41" s="74">
        <v>0</v>
      </c>
      <c r="K41" s="74">
        <v>0</v>
      </c>
      <c r="L41" s="74">
        <v>0</v>
      </c>
      <c r="M41" s="74">
        <v>0</v>
      </c>
      <c r="N41" s="74">
        <v>0</v>
      </c>
    </row>
    <row r="42" spans="1:14" x14ac:dyDescent="0.25">
      <c r="A42" t="e">
        <f>VLOOKUP(VALUE(RIGHT(B42,4)),'Waste Lookups'!$B$1:$C$295,2,FALSE)</f>
        <v>#N/A</v>
      </c>
      <c r="B42" s="74" t="s">
        <v>906</v>
      </c>
      <c r="C42" s="74" t="s">
        <v>907</v>
      </c>
      <c r="D42" s="74">
        <v>0</v>
      </c>
      <c r="E42" s="74">
        <v>0.35808000000000001</v>
      </c>
      <c r="F42" s="74">
        <v>0</v>
      </c>
      <c r="G42" s="74">
        <v>0</v>
      </c>
      <c r="H42" s="74">
        <v>0</v>
      </c>
      <c r="I42" s="74"/>
      <c r="J42" s="74">
        <v>0</v>
      </c>
      <c r="K42" s="74">
        <v>0</v>
      </c>
      <c r="L42" s="74">
        <v>0</v>
      </c>
      <c r="M42" s="74">
        <v>0</v>
      </c>
      <c r="N42" s="74">
        <v>0</v>
      </c>
    </row>
    <row r="43" spans="1:14" x14ac:dyDescent="0.25">
      <c r="A43" t="e">
        <f>VLOOKUP(VALUE(RIGHT(B43,4)),'Waste Lookups'!$B$1:$C$295,2,FALSE)</f>
        <v>#N/A</v>
      </c>
      <c r="B43" s="74" t="s">
        <v>908</v>
      </c>
      <c r="C43" s="74" t="s">
        <v>909</v>
      </c>
      <c r="D43" s="74">
        <v>0</v>
      </c>
      <c r="E43" s="74">
        <v>18.849959999999999</v>
      </c>
      <c r="F43" s="74">
        <v>0</v>
      </c>
      <c r="G43" s="74">
        <v>0</v>
      </c>
      <c r="H43" s="74">
        <v>0</v>
      </c>
      <c r="I43" s="74"/>
      <c r="J43" s="74">
        <v>0</v>
      </c>
      <c r="K43" s="74">
        <v>0</v>
      </c>
      <c r="L43" s="74">
        <v>0</v>
      </c>
      <c r="M43" s="74">
        <v>0</v>
      </c>
      <c r="N43" s="74">
        <v>0</v>
      </c>
    </row>
    <row r="44" spans="1:14" x14ac:dyDescent="0.25">
      <c r="A44" t="e">
        <f>VLOOKUP(VALUE(RIGHT(B44,4)),'Waste Lookups'!$B$1:$C$295,2,FALSE)</f>
        <v>#N/A</v>
      </c>
      <c r="B44" s="74" t="s">
        <v>910</v>
      </c>
      <c r="C44" s="74" t="s">
        <v>911</v>
      </c>
      <c r="D44" s="74">
        <v>15.507242424242426</v>
      </c>
      <c r="E44" s="74">
        <v>0</v>
      </c>
      <c r="F44" s="74">
        <v>0</v>
      </c>
      <c r="G44" s="74">
        <v>0</v>
      </c>
      <c r="H44" s="74">
        <v>0</v>
      </c>
      <c r="I44" s="74"/>
      <c r="J44" s="74">
        <v>0</v>
      </c>
      <c r="K44" s="74">
        <v>0</v>
      </c>
      <c r="L44" s="74">
        <v>0</v>
      </c>
      <c r="M44" s="74">
        <v>0</v>
      </c>
      <c r="N44" s="74">
        <v>0</v>
      </c>
    </row>
    <row r="45" spans="1:14" x14ac:dyDescent="0.25">
      <c r="A45" t="str">
        <f>VLOOKUP(VALUE(RIGHT(B45,4)),'Waste Lookups'!$B$1:$C$295,2,FALSE)</f>
        <v>Bevan House &amp; John Snow House</v>
      </c>
      <c r="B45" s="74" t="s">
        <v>657</v>
      </c>
      <c r="C45" s="74" t="s">
        <v>912</v>
      </c>
      <c r="D45" s="74">
        <v>7.003636363636363</v>
      </c>
      <c r="E45" s="74">
        <v>11.38266</v>
      </c>
      <c r="F45" s="74">
        <v>0</v>
      </c>
      <c r="G45" s="74">
        <v>0</v>
      </c>
      <c r="H45" s="74">
        <v>0</v>
      </c>
      <c r="I45" s="74"/>
      <c r="J45" s="74">
        <v>10.052250190694124</v>
      </c>
      <c r="K45" s="74">
        <v>16.337419622425628</v>
      </c>
      <c r="L45" s="74">
        <v>0</v>
      </c>
      <c r="M45" s="74">
        <v>0</v>
      </c>
      <c r="N45" s="74">
        <v>0</v>
      </c>
    </row>
    <row r="46" spans="1:14" x14ac:dyDescent="0.25">
      <c r="A46" t="e">
        <f>VLOOKUP(VALUE(RIGHT(B46,4)),'Waste Lookups'!$B$1:$C$295,2,FALSE)</f>
        <v>#N/A</v>
      </c>
      <c r="B46" s="74" t="s">
        <v>913</v>
      </c>
      <c r="C46" s="74" t="s">
        <v>914</v>
      </c>
      <c r="D46" s="74">
        <v>23.851696969696974</v>
      </c>
      <c r="E46" s="74">
        <v>0</v>
      </c>
      <c r="F46" s="74">
        <v>0</v>
      </c>
      <c r="G46" s="74">
        <v>0</v>
      </c>
      <c r="H46" s="74">
        <v>0</v>
      </c>
      <c r="I46" s="74"/>
      <c r="J46" s="74">
        <v>0</v>
      </c>
      <c r="K46" s="74">
        <v>0</v>
      </c>
      <c r="L46" s="74">
        <v>0</v>
      </c>
      <c r="M46" s="74">
        <v>0</v>
      </c>
      <c r="N46" s="74">
        <v>0</v>
      </c>
    </row>
    <row r="47" spans="1:14" x14ac:dyDescent="0.25">
      <c r="A47" t="e">
        <f>VLOOKUP(VALUE(RIGHT(B47,4)),'Waste Lookups'!$B$1:$C$295,2,FALSE)</f>
        <v>#N/A</v>
      </c>
      <c r="B47" s="74" t="s">
        <v>915</v>
      </c>
      <c r="C47" s="74" t="s">
        <v>916</v>
      </c>
      <c r="D47" s="74">
        <v>24.577303030303039</v>
      </c>
      <c r="E47" s="74">
        <v>4.6260000000000003</v>
      </c>
      <c r="F47" s="74">
        <v>0</v>
      </c>
      <c r="G47" s="74">
        <v>0</v>
      </c>
      <c r="H47" s="74">
        <v>0</v>
      </c>
      <c r="I47" s="74"/>
      <c r="J47" s="74">
        <v>7.4193679055325799</v>
      </c>
      <c r="K47" s="74">
        <v>1.3964915470454908</v>
      </c>
      <c r="L47" s="74">
        <v>0</v>
      </c>
      <c r="M47" s="74">
        <v>0</v>
      </c>
      <c r="N47" s="74">
        <v>0</v>
      </c>
    </row>
    <row r="48" spans="1:14" x14ac:dyDescent="0.25">
      <c r="A48" t="e">
        <f>VLOOKUP(VALUE(RIGHT(B48,4)),'Waste Lookups'!$B$1:$C$295,2,FALSE)</f>
        <v>#N/A</v>
      </c>
      <c r="B48" s="74" t="s">
        <v>917</v>
      </c>
      <c r="C48" s="74" t="s">
        <v>918</v>
      </c>
      <c r="D48" s="74">
        <v>0</v>
      </c>
      <c r="E48" s="74">
        <v>7.33134</v>
      </c>
      <c r="F48" s="74">
        <v>0</v>
      </c>
      <c r="G48" s="74">
        <v>0</v>
      </c>
      <c r="H48" s="74">
        <v>0</v>
      </c>
      <c r="I48" s="74"/>
      <c r="J48" s="74">
        <v>0</v>
      </c>
      <c r="K48" s="74">
        <v>0</v>
      </c>
      <c r="L48" s="74">
        <v>0</v>
      </c>
      <c r="M48" s="74">
        <v>0</v>
      </c>
      <c r="N48" s="74">
        <v>0</v>
      </c>
    </row>
    <row r="49" spans="1:14" x14ac:dyDescent="0.25">
      <c r="A49" t="e">
        <f>VLOOKUP(VALUE(RIGHT(B49,4)),'Waste Lookups'!$B$1:$C$295,2,FALSE)</f>
        <v>#N/A</v>
      </c>
      <c r="B49" s="74" t="s">
        <v>919</v>
      </c>
      <c r="C49" s="74" t="s">
        <v>920</v>
      </c>
      <c r="D49" s="74">
        <v>2.0121818181818183</v>
      </c>
      <c r="E49" s="74">
        <v>0</v>
      </c>
      <c r="F49" s="74">
        <v>0</v>
      </c>
      <c r="G49" s="74">
        <v>0</v>
      </c>
      <c r="H49" s="74">
        <v>0</v>
      </c>
      <c r="I49" s="74"/>
      <c r="J49" s="74">
        <v>0</v>
      </c>
      <c r="K49" s="74">
        <v>0</v>
      </c>
      <c r="L49" s="74">
        <v>0</v>
      </c>
      <c r="M49" s="74">
        <v>0</v>
      </c>
      <c r="N49" s="74">
        <v>0</v>
      </c>
    </row>
    <row r="50" spans="1:14" x14ac:dyDescent="0.25">
      <c r="A50" t="e">
        <f>VLOOKUP(VALUE(RIGHT(B50,4)),'Waste Lookups'!$B$1:$C$295,2,FALSE)</f>
        <v>#N/A</v>
      </c>
      <c r="B50" s="74" t="s">
        <v>921</v>
      </c>
      <c r="C50" s="74" t="s">
        <v>922</v>
      </c>
      <c r="D50" s="74">
        <v>1.5062424242424242</v>
      </c>
      <c r="E50" s="74">
        <v>2.8029000000000002</v>
      </c>
      <c r="F50" s="74">
        <v>0</v>
      </c>
      <c r="G50" s="74">
        <v>0</v>
      </c>
      <c r="H50" s="74">
        <v>0</v>
      </c>
      <c r="I50" s="74"/>
      <c r="J50" s="74">
        <v>1.3997674567204699</v>
      </c>
      <c r="K50" s="74">
        <v>2.6047654356934689</v>
      </c>
      <c r="L50" s="74">
        <v>0</v>
      </c>
      <c r="M50" s="74">
        <v>0</v>
      </c>
      <c r="N50" s="74">
        <v>0</v>
      </c>
    </row>
    <row r="51" spans="1:14" x14ac:dyDescent="0.25">
      <c r="A51" t="e">
        <f>VLOOKUP(VALUE(RIGHT(B51,4)),'Waste Lookups'!$B$1:$C$295,2,FALSE)</f>
        <v>#N/A</v>
      </c>
      <c r="B51" s="74" t="s">
        <v>923</v>
      </c>
      <c r="C51" s="74" t="s">
        <v>924</v>
      </c>
      <c r="D51" s="74">
        <v>4.1023333333333332</v>
      </c>
      <c r="E51" s="74">
        <v>13.126979999999998</v>
      </c>
      <c r="F51" s="74">
        <v>0</v>
      </c>
      <c r="G51" s="74">
        <v>0</v>
      </c>
      <c r="H51" s="74">
        <v>0</v>
      </c>
      <c r="I51" s="74"/>
      <c r="J51" s="74">
        <v>3.013899139748514</v>
      </c>
      <c r="K51" s="74">
        <v>9.6441197032979442</v>
      </c>
      <c r="L51" s="74">
        <v>0</v>
      </c>
      <c r="M51" s="74">
        <v>0</v>
      </c>
      <c r="N51" s="74">
        <v>0</v>
      </c>
    </row>
    <row r="52" spans="1:14" x14ac:dyDescent="0.25">
      <c r="A52" t="e">
        <f>VLOOKUP(VALUE(RIGHT(B52,4)),'Waste Lookups'!$B$1:$C$295,2,FALSE)</f>
        <v>#N/A</v>
      </c>
      <c r="B52" s="74" t="s">
        <v>925</v>
      </c>
      <c r="C52" s="74" t="s">
        <v>926</v>
      </c>
      <c r="D52" s="74">
        <v>7.1386969696969702</v>
      </c>
      <c r="E52" s="74">
        <v>15.23274</v>
      </c>
      <c r="F52" s="74">
        <v>0</v>
      </c>
      <c r="G52" s="74">
        <v>0</v>
      </c>
      <c r="H52" s="74">
        <v>0</v>
      </c>
      <c r="I52" s="74"/>
      <c r="J52" s="74">
        <v>7.373720256491108</v>
      </c>
      <c r="K52" s="74">
        <v>15.734238892147607</v>
      </c>
      <c r="L52" s="74">
        <v>0</v>
      </c>
      <c r="M52" s="74">
        <v>0</v>
      </c>
      <c r="N52" s="74">
        <v>0</v>
      </c>
    </row>
    <row r="53" spans="1:14" x14ac:dyDescent="0.25">
      <c r="A53" t="e">
        <f>VLOOKUP(VALUE(RIGHT(B53,4)),'Waste Lookups'!$B$1:$C$295,2,FALSE)</f>
        <v>#N/A</v>
      </c>
      <c r="B53" s="74" t="s">
        <v>927</v>
      </c>
      <c r="C53" s="74" t="s">
        <v>928</v>
      </c>
      <c r="D53" s="74">
        <v>0</v>
      </c>
      <c r="E53" s="74">
        <v>5.5420199999999999</v>
      </c>
      <c r="F53" s="74">
        <v>0</v>
      </c>
      <c r="G53" s="74">
        <v>0</v>
      </c>
      <c r="H53" s="74">
        <v>0</v>
      </c>
      <c r="I53" s="74"/>
      <c r="J53" s="74">
        <v>0</v>
      </c>
      <c r="K53" s="74">
        <v>5.2630599999999994</v>
      </c>
      <c r="L53" s="74">
        <v>0</v>
      </c>
      <c r="M53" s="74">
        <v>0</v>
      </c>
      <c r="N53" s="74">
        <v>0</v>
      </c>
    </row>
    <row r="54" spans="1:14" x14ac:dyDescent="0.25">
      <c r="A54" t="e">
        <f>VLOOKUP(VALUE(RIGHT(B54,4)),'Waste Lookups'!$B$1:$C$295,2,FALSE)</f>
        <v>#N/A</v>
      </c>
      <c r="B54" s="74" t="s">
        <v>929</v>
      </c>
      <c r="C54" s="74" t="s">
        <v>930</v>
      </c>
      <c r="D54" s="74">
        <v>3.2434545454545449</v>
      </c>
      <c r="E54" s="74">
        <v>0</v>
      </c>
      <c r="F54" s="74">
        <v>0</v>
      </c>
      <c r="G54" s="74">
        <v>11.55969</v>
      </c>
      <c r="H54" s="74">
        <v>0</v>
      </c>
      <c r="I54" s="74"/>
      <c r="J54" s="74">
        <v>3.0331792419577446</v>
      </c>
      <c r="K54" s="74">
        <v>0</v>
      </c>
      <c r="L54" s="74">
        <v>0</v>
      </c>
      <c r="M54" s="74">
        <v>10.810267651385496</v>
      </c>
      <c r="N54" s="74">
        <v>0</v>
      </c>
    </row>
    <row r="55" spans="1:14" x14ac:dyDescent="0.25">
      <c r="A55" t="e">
        <f>VLOOKUP(VALUE(RIGHT(B55,4)),'Waste Lookups'!$B$1:$C$295,2,FALSE)</f>
        <v>#N/A</v>
      </c>
      <c r="B55" s="74" t="s">
        <v>931</v>
      </c>
      <c r="C55" s="74" t="s">
        <v>932</v>
      </c>
      <c r="D55" s="74">
        <v>0</v>
      </c>
      <c r="E55" s="74">
        <v>1.7999999999999998</v>
      </c>
      <c r="F55" s="74">
        <v>0</v>
      </c>
      <c r="G55" s="74">
        <v>0</v>
      </c>
      <c r="H55" s="74">
        <v>0</v>
      </c>
      <c r="I55" s="74"/>
      <c r="J55" s="74">
        <v>0</v>
      </c>
      <c r="K55" s="74">
        <v>0</v>
      </c>
      <c r="L55" s="74">
        <v>0</v>
      </c>
      <c r="M55" s="74">
        <v>0</v>
      </c>
      <c r="N55" s="74">
        <v>0</v>
      </c>
    </row>
    <row r="56" spans="1:14" x14ac:dyDescent="0.25">
      <c r="A56" t="e">
        <f>VLOOKUP(VALUE(RIGHT(B56,4)),'Waste Lookups'!$B$1:$C$295,2,FALSE)</f>
        <v>#N/A</v>
      </c>
      <c r="B56" s="74" t="s">
        <v>933</v>
      </c>
      <c r="C56" s="74" t="s">
        <v>934</v>
      </c>
      <c r="D56" s="74">
        <v>0</v>
      </c>
      <c r="E56" s="74">
        <v>15.817860000000001</v>
      </c>
      <c r="F56" s="74">
        <v>0</v>
      </c>
      <c r="G56" s="74">
        <v>0</v>
      </c>
      <c r="H56" s="74">
        <v>0</v>
      </c>
      <c r="I56" s="74"/>
      <c r="J56" s="74">
        <v>0</v>
      </c>
      <c r="K56" s="74">
        <v>31.545304999999999</v>
      </c>
      <c r="L56" s="74">
        <v>0</v>
      </c>
      <c r="M56" s="74">
        <v>0</v>
      </c>
      <c r="N56" s="74">
        <v>0</v>
      </c>
    </row>
    <row r="57" spans="1:14" x14ac:dyDescent="0.25">
      <c r="A57" t="e">
        <f>VLOOKUP(VALUE(RIGHT(B57,4)),'Waste Lookups'!$B$1:$C$295,2,FALSE)</f>
        <v>#N/A</v>
      </c>
      <c r="B57" s="74" t="s">
        <v>935</v>
      </c>
      <c r="C57" s="74" t="s">
        <v>936</v>
      </c>
      <c r="D57" s="74">
        <v>0</v>
      </c>
      <c r="E57" s="74">
        <v>1.1893799999999999</v>
      </c>
      <c r="F57" s="74">
        <v>0</v>
      </c>
      <c r="G57" s="74">
        <v>0</v>
      </c>
      <c r="H57" s="74">
        <v>0</v>
      </c>
      <c r="I57" s="74"/>
      <c r="J57" s="74">
        <v>0</v>
      </c>
      <c r="K57" s="74">
        <v>0.28330500000000003</v>
      </c>
      <c r="L57" s="74">
        <v>0</v>
      </c>
      <c r="M57" s="74">
        <v>0</v>
      </c>
      <c r="N57" s="74">
        <v>0</v>
      </c>
    </row>
    <row r="58" spans="1:14" x14ac:dyDescent="0.25">
      <c r="A58" t="e">
        <f>VLOOKUP(VALUE(RIGHT(B58,4)),'Waste Lookups'!$B$1:$C$295,2,FALSE)</f>
        <v>#N/A</v>
      </c>
      <c r="B58" s="74" t="s">
        <v>937</v>
      </c>
      <c r="C58" s="74" t="s">
        <v>938</v>
      </c>
      <c r="D58" s="74">
        <v>0</v>
      </c>
      <c r="E58" s="74">
        <v>0</v>
      </c>
      <c r="F58" s="74">
        <v>0</v>
      </c>
      <c r="G58" s="74">
        <v>0</v>
      </c>
      <c r="H58" s="74">
        <v>0.21732991520410175</v>
      </c>
      <c r="I58" s="74"/>
      <c r="J58" s="74">
        <v>0</v>
      </c>
      <c r="K58" s="74">
        <v>0</v>
      </c>
      <c r="L58" s="74">
        <v>0</v>
      </c>
      <c r="M58" s="74">
        <v>0</v>
      </c>
      <c r="N58" s="74">
        <v>0</v>
      </c>
    </row>
    <row r="59" spans="1:14" x14ac:dyDescent="0.25">
      <c r="A59" t="e">
        <f>VLOOKUP(VALUE(RIGHT(B59,4)),'Waste Lookups'!$B$1:$C$295,2,FALSE)</f>
        <v>#N/A</v>
      </c>
      <c r="B59" s="74" t="s">
        <v>939</v>
      </c>
      <c r="C59" s="74" t="s">
        <v>940</v>
      </c>
      <c r="D59" s="74">
        <v>0</v>
      </c>
      <c r="E59" s="74">
        <v>0</v>
      </c>
      <c r="F59" s="74">
        <v>0</v>
      </c>
      <c r="G59" s="74">
        <v>0</v>
      </c>
      <c r="H59" s="74">
        <v>1.7556016564780126</v>
      </c>
      <c r="I59" s="74"/>
      <c r="J59" s="74">
        <v>0</v>
      </c>
      <c r="K59" s="74">
        <v>0</v>
      </c>
      <c r="L59" s="74">
        <v>0</v>
      </c>
      <c r="M59" s="74">
        <v>0</v>
      </c>
      <c r="N59" s="74">
        <v>0</v>
      </c>
    </row>
    <row r="60" spans="1:14" x14ac:dyDescent="0.25">
      <c r="A60" t="str">
        <f>VLOOKUP(VALUE(RIGHT(B60,4)),'Waste Lookups'!$B$1:$C$295,2,FALSE)</f>
        <v>Old Market House</v>
      </c>
      <c r="B60" s="74" t="s">
        <v>658</v>
      </c>
      <c r="C60" s="74" t="s">
        <v>941</v>
      </c>
      <c r="D60" s="74">
        <v>0</v>
      </c>
      <c r="E60" s="74">
        <v>34.425179999999997</v>
      </c>
      <c r="F60" s="74">
        <v>0</v>
      </c>
      <c r="G60" s="74">
        <v>0</v>
      </c>
      <c r="H60" s="74">
        <v>0</v>
      </c>
      <c r="I60" s="74"/>
      <c r="J60" s="74">
        <v>0</v>
      </c>
      <c r="K60" s="74">
        <v>25.350490000000001</v>
      </c>
      <c r="L60" s="74">
        <v>0</v>
      </c>
      <c r="M60" s="74">
        <v>0</v>
      </c>
      <c r="N60" s="74">
        <v>0</v>
      </c>
    </row>
    <row r="61" spans="1:14" x14ac:dyDescent="0.25">
      <c r="A61" t="e">
        <f>VLOOKUP(VALUE(RIGHT(B61,4)),'Waste Lookups'!$B$1:$C$295,2,FALSE)</f>
        <v>#N/A</v>
      </c>
      <c r="B61" s="74" t="s">
        <v>942</v>
      </c>
      <c r="C61" s="74" t="s">
        <v>943</v>
      </c>
      <c r="D61" s="74">
        <v>0</v>
      </c>
      <c r="E61" s="74">
        <v>0.98003999999999991</v>
      </c>
      <c r="F61" s="74">
        <v>0</v>
      </c>
      <c r="G61" s="74">
        <v>0</v>
      </c>
      <c r="H61" s="74">
        <v>0</v>
      </c>
      <c r="I61" s="74"/>
      <c r="J61" s="74">
        <v>0</v>
      </c>
      <c r="K61" s="74">
        <v>0</v>
      </c>
      <c r="L61" s="74">
        <v>0</v>
      </c>
      <c r="M61" s="74">
        <v>0</v>
      </c>
      <c r="N61" s="74">
        <v>0</v>
      </c>
    </row>
    <row r="62" spans="1:14" x14ac:dyDescent="0.25">
      <c r="A62" t="e">
        <f>VLOOKUP(VALUE(RIGHT(B62,4)),'Waste Lookups'!$B$1:$C$295,2,FALSE)</f>
        <v>#N/A</v>
      </c>
      <c r="B62" s="74" t="s">
        <v>944</v>
      </c>
      <c r="C62" s="74" t="s">
        <v>945</v>
      </c>
      <c r="D62" s="74">
        <v>0</v>
      </c>
      <c r="E62" s="74">
        <v>27.156300000000002</v>
      </c>
      <c r="F62" s="74">
        <v>0</v>
      </c>
      <c r="G62" s="74">
        <v>0</v>
      </c>
      <c r="H62" s="74">
        <v>0</v>
      </c>
      <c r="I62" s="74"/>
      <c r="J62" s="74">
        <v>0</v>
      </c>
      <c r="K62" s="74">
        <v>0</v>
      </c>
      <c r="L62" s="74">
        <v>0</v>
      </c>
      <c r="M62" s="74">
        <v>0</v>
      </c>
      <c r="N62" s="74">
        <v>0</v>
      </c>
    </row>
    <row r="63" spans="1:14" x14ac:dyDescent="0.25">
      <c r="A63" t="e">
        <f>VLOOKUP(VALUE(RIGHT(B63,4)),'Waste Lookups'!$B$1:$C$295,2,FALSE)</f>
        <v>#N/A</v>
      </c>
      <c r="B63" s="74" t="s">
        <v>946</v>
      </c>
      <c r="C63" s="74" t="s">
        <v>947</v>
      </c>
      <c r="D63" s="74">
        <v>0</v>
      </c>
      <c r="E63" s="74">
        <v>7.52142</v>
      </c>
      <c r="F63" s="74">
        <v>0</v>
      </c>
      <c r="G63" s="74">
        <v>0</v>
      </c>
      <c r="H63" s="74">
        <v>0</v>
      </c>
      <c r="I63" s="74"/>
      <c r="J63" s="74">
        <v>0</v>
      </c>
      <c r="K63" s="74">
        <v>0</v>
      </c>
      <c r="L63" s="74">
        <v>0</v>
      </c>
      <c r="M63" s="74">
        <v>0</v>
      </c>
      <c r="N63" s="74">
        <v>0</v>
      </c>
    </row>
    <row r="64" spans="1:14" x14ac:dyDescent="0.25">
      <c r="A64" t="e">
        <f>VLOOKUP(VALUE(RIGHT(B64,4)),'Waste Lookups'!$B$1:$C$295,2,FALSE)</f>
        <v>#N/A</v>
      </c>
      <c r="B64" s="74" t="s">
        <v>948</v>
      </c>
      <c r="C64" s="74" t="s">
        <v>949</v>
      </c>
      <c r="D64" s="74">
        <v>0</v>
      </c>
      <c r="E64" s="74">
        <v>3.5567999999999995</v>
      </c>
      <c r="F64" s="74">
        <v>0</v>
      </c>
      <c r="G64" s="74">
        <v>0</v>
      </c>
      <c r="H64" s="74">
        <v>0</v>
      </c>
      <c r="I64" s="74"/>
      <c r="J64" s="74">
        <v>0</v>
      </c>
      <c r="K64" s="74">
        <v>3.2651299999999992</v>
      </c>
      <c r="L64" s="74">
        <v>0</v>
      </c>
      <c r="M64" s="74">
        <v>0</v>
      </c>
      <c r="N64" s="74">
        <v>0</v>
      </c>
    </row>
    <row r="65" spans="1:14" x14ac:dyDescent="0.25">
      <c r="A65" t="e">
        <f>VLOOKUP(VALUE(RIGHT(B65,4)),'Waste Lookups'!$B$1:$C$295,2,FALSE)</f>
        <v>#N/A</v>
      </c>
      <c r="B65" s="74" t="s">
        <v>950</v>
      </c>
      <c r="C65" s="74" t="s">
        <v>951</v>
      </c>
      <c r="D65" s="74">
        <v>0</v>
      </c>
      <c r="E65" s="74">
        <v>6.967620000000001</v>
      </c>
      <c r="F65" s="74">
        <v>0</v>
      </c>
      <c r="G65" s="74">
        <v>5.5252799999999986</v>
      </c>
      <c r="H65" s="74">
        <v>0</v>
      </c>
      <c r="I65" s="74"/>
      <c r="J65" s="74">
        <v>0</v>
      </c>
      <c r="K65" s="74">
        <v>6.5962038316461911</v>
      </c>
      <c r="L65" s="74">
        <v>0</v>
      </c>
      <c r="M65" s="74">
        <v>5.230749252530714</v>
      </c>
      <c r="N65" s="74">
        <v>0</v>
      </c>
    </row>
    <row r="66" spans="1:14" x14ac:dyDescent="0.25">
      <c r="A66" t="e">
        <f>VLOOKUP(VALUE(RIGHT(B66,4)),'Waste Lookups'!$B$1:$C$295,2,FALSE)</f>
        <v>#N/A</v>
      </c>
      <c r="B66" s="74" t="s">
        <v>952</v>
      </c>
      <c r="C66" s="74" t="s">
        <v>953</v>
      </c>
      <c r="D66" s="74">
        <v>0</v>
      </c>
      <c r="E66" s="74">
        <v>2.9165999999999999</v>
      </c>
      <c r="F66" s="74">
        <v>0</v>
      </c>
      <c r="G66" s="74">
        <v>0</v>
      </c>
      <c r="H66" s="74">
        <v>0</v>
      </c>
      <c r="I66" s="74"/>
      <c r="J66" s="74">
        <v>0</v>
      </c>
      <c r="K66" s="74">
        <v>1.674695</v>
      </c>
      <c r="L66" s="74">
        <v>0</v>
      </c>
      <c r="M66" s="74">
        <v>0</v>
      </c>
      <c r="N66" s="74">
        <v>0</v>
      </c>
    </row>
    <row r="67" spans="1:14" x14ac:dyDescent="0.25">
      <c r="A67" t="e">
        <f>VLOOKUP(VALUE(RIGHT(B67,4)),'Waste Lookups'!$B$1:$C$295,2,FALSE)</f>
        <v>#N/A</v>
      </c>
      <c r="B67" s="74" t="s">
        <v>954</v>
      </c>
      <c r="C67" s="74" t="s">
        <v>955</v>
      </c>
      <c r="D67" s="74">
        <v>0</v>
      </c>
      <c r="E67" s="74">
        <v>4.4028599999999996</v>
      </c>
      <c r="F67" s="74">
        <v>0</v>
      </c>
      <c r="G67" s="74">
        <v>0</v>
      </c>
      <c r="H67" s="74">
        <v>0</v>
      </c>
      <c r="I67" s="74"/>
      <c r="J67" s="74">
        <v>0</v>
      </c>
      <c r="K67" s="74">
        <v>88.316194999999993</v>
      </c>
      <c r="L67" s="74">
        <v>0</v>
      </c>
      <c r="M67" s="74">
        <v>0</v>
      </c>
      <c r="N67" s="74">
        <v>0</v>
      </c>
    </row>
    <row r="68" spans="1:14" x14ac:dyDescent="0.25">
      <c r="A68" t="e">
        <f>VLOOKUP(VALUE(RIGHT(B68,4)),'Waste Lookups'!$B$1:$C$295,2,FALSE)</f>
        <v>#N/A</v>
      </c>
      <c r="B68" s="74" t="s">
        <v>956</v>
      </c>
      <c r="C68" s="74" t="s">
        <v>957</v>
      </c>
      <c r="D68" s="74">
        <v>0</v>
      </c>
      <c r="E68" s="74">
        <v>4.2822000000000005</v>
      </c>
      <c r="F68" s="74">
        <v>0</v>
      </c>
      <c r="G68" s="74">
        <v>0</v>
      </c>
      <c r="H68" s="74">
        <v>0</v>
      </c>
      <c r="I68" s="74"/>
      <c r="J68" s="74">
        <v>0</v>
      </c>
      <c r="K68" s="74">
        <v>5.9491850000000008</v>
      </c>
      <c r="L68" s="74">
        <v>0</v>
      </c>
      <c r="M68" s="74">
        <v>0</v>
      </c>
      <c r="N68" s="74">
        <v>0</v>
      </c>
    </row>
    <row r="69" spans="1:14" x14ac:dyDescent="0.25">
      <c r="A69" t="e">
        <f>VLOOKUP(VALUE(RIGHT(B69,4)),'Waste Lookups'!$B$1:$C$295,2,FALSE)</f>
        <v>#N/A</v>
      </c>
      <c r="B69" s="74" t="s">
        <v>958</v>
      </c>
      <c r="C69" s="74" t="s">
        <v>959</v>
      </c>
      <c r="D69" s="74">
        <v>0</v>
      </c>
      <c r="E69" s="74">
        <v>4.9725000000000001</v>
      </c>
      <c r="F69" s="74">
        <v>0</v>
      </c>
      <c r="G69" s="74">
        <v>0</v>
      </c>
      <c r="H69" s="74">
        <v>0</v>
      </c>
      <c r="I69" s="74"/>
      <c r="J69" s="74">
        <v>0</v>
      </c>
      <c r="K69" s="74">
        <v>5.9397799999999998</v>
      </c>
      <c r="L69" s="74">
        <v>0</v>
      </c>
      <c r="M69" s="74">
        <v>0</v>
      </c>
      <c r="N69" s="74">
        <v>0</v>
      </c>
    </row>
    <row r="70" spans="1:14" x14ac:dyDescent="0.25">
      <c r="A70" t="e">
        <f>VLOOKUP(VALUE(RIGHT(B70,4)),'Waste Lookups'!$B$1:$C$295,2,FALSE)</f>
        <v>#N/A</v>
      </c>
      <c r="B70" s="74" t="s">
        <v>960</v>
      </c>
      <c r="C70" s="74" t="s">
        <v>961</v>
      </c>
      <c r="D70" s="74">
        <v>0</v>
      </c>
      <c r="E70" s="74">
        <v>4.4459999999999988</v>
      </c>
      <c r="F70" s="74">
        <v>0</v>
      </c>
      <c r="G70" s="74">
        <v>0</v>
      </c>
      <c r="H70" s="74">
        <v>0</v>
      </c>
      <c r="I70" s="74"/>
      <c r="J70" s="74">
        <v>0</v>
      </c>
      <c r="K70" s="74">
        <v>3.3601149999999991</v>
      </c>
      <c r="L70" s="74">
        <v>0</v>
      </c>
      <c r="M70" s="74">
        <v>0</v>
      </c>
      <c r="N70" s="74">
        <v>0</v>
      </c>
    </row>
    <row r="71" spans="1:14" x14ac:dyDescent="0.25">
      <c r="A71" t="e">
        <f>VLOOKUP(VALUE(RIGHT(B71,4)),'Waste Lookups'!$B$1:$C$295,2,FALSE)</f>
        <v>#N/A</v>
      </c>
      <c r="B71" s="74" t="s">
        <v>962</v>
      </c>
      <c r="C71" s="74" t="s">
        <v>963</v>
      </c>
      <c r="D71" s="74">
        <v>0</v>
      </c>
      <c r="E71" s="74">
        <v>35.663220000000003</v>
      </c>
      <c r="F71" s="74">
        <v>0</v>
      </c>
      <c r="G71" s="74">
        <v>0</v>
      </c>
      <c r="H71" s="74">
        <v>0</v>
      </c>
      <c r="I71" s="74"/>
      <c r="J71" s="74">
        <v>0</v>
      </c>
      <c r="K71" s="74">
        <v>43.167409999999997</v>
      </c>
      <c r="L71" s="74">
        <v>0</v>
      </c>
      <c r="M71" s="74">
        <v>0</v>
      </c>
      <c r="N71" s="74">
        <v>0</v>
      </c>
    </row>
    <row r="72" spans="1:14" x14ac:dyDescent="0.25">
      <c r="A72" t="e">
        <f>VLOOKUP(VALUE(RIGHT(B72,4)),'Waste Lookups'!$B$1:$C$295,2,FALSE)</f>
        <v>#N/A</v>
      </c>
      <c r="B72" s="74" t="s">
        <v>964</v>
      </c>
      <c r="C72" s="74" t="s">
        <v>965</v>
      </c>
      <c r="D72" s="74">
        <v>0</v>
      </c>
      <c r="E72" s="74">
        <v>5.6238000000000001</v>
      </c>
      <c r="F72" s="74">
        <v>0</v>
      </c>
      <c r="G72" s="74">
        <v>0</v>
      </c>
      <c r="H72" s="74">
        <v>0</v>
      </c>
      <c r="I72" s="74"/>
      <c r="J72" s="74">
        <v>0</v>
      </c>
      <c r="K72" s="74">
        <v>5.0652249999999999</v>
      </c>
      <c r="L72" s="74">
        <v>0</v>
      </c>
      <c r="M72" s="74">
        <v>0</v>
      </c>
      <c r="N72" s="74">
        <v>0</v>
      </c>
    </row>
    <row r="73" spans="1:14" x14ac:dyDescent="0.25">
      <c r="A73" t="e">
        <f>VLOOKUP(VALUE(RIGHT(B73,4)),'Waste Lookups'!$B$1:$C$295,2,FALSE)</f>
        <v>#N/A</v>
      </c>
      <c r="B73" s="74" t="s">
        <v>966</v>
      </c>
      <c r="C73" s="74" t="s">
        <v>967</v>
      </c>
      <c r="D73" s="74">
        <v>0</v>
      </c>
      <c r="E73" s="74">
        <v>1.7783999999999998</v>
      </c>
      <c r="F73" s="74">
        <v>0</v>
      </c>
      <c r="G73" s="74">
        <v>0</v>
      </c>
      <c r="H73" s="74">
        <v>0</v>
      </c>
      <c r="I73" s="74"/>
      <c r="J73" s="74">
        <v>0</v>
      </c>
      <c r="K73" s="74">
        <v>3.2603999999999997</v>
      </c>
      <c r="L73" s="74">
        <v>0</v>
      </c>
      <c r="M73" s="74">
        <v>0</v>
      </c>
      <c r="N73" s="74">
        <v>0</v>
      </c>
    </row>
    <row r="74" spans="1:14" x14ac:dyDescent="0.25">
      <c r="A74" t="e">
        <f>VLOOKUP(VALUE(RIGHT(B74,4)),'Waste Lookups'!$B$1:$C$295,2,FALSE)</f>
        <v>#N/A</v>
      </c>
      <c r="B74" s="74" t="s">
        <v>968</v>
      </c>
      <c r="C74" s="74" t="s">
        <v>969</v>
      </c>
      <c r="D74" s="74">
        <v>0</v>
      </c>
      <c r="E74" s="74">
        <v>2.2836599999999998</v>
      </c>
      <c r="F74" s="74">
        <v>0</v>
      </c>
      <c r="G74" s="74">
        <v>0</v>
      </c>
      <c r="H74" s="74">
        <v>0</v>
      </c>
      <c r="I74" s="74"/>
      <c r="J74" s="74">
        <v>0</v>
      </c>
      <c r="K74" s="74">
        <v>2.0935199999999998</v>
      </c>
      <c r="L74" s="74">
        <v>0</v>
      </c>
      <c r="M74" s="74">
        <v>0</v>
      </c>
      <c r="N74" s="74">
        <v>0</v>
      </c>
    </row>
    <row r="75" spans="1:14" x14ac:dyDescent="0.25">
      <c r="A75" t="e">
        <f>VLOOKUP(VALUE(RIGHT(B75,4)),'Waste Lookups'!$B$1:$C$295,2,FALSE)</f>
        <v>#N/A</v>
      </c>
      <c r="B75" s="74" t="s">
        <v>970</v>
      </c>
      <c r="C75" s="74" t="s">
        <v>971</v>
      </c>
      <c r="D75" s="74">
        <v>0</v>
      </c>
      <c r="E75" s="74">
        <v>28.254120000000004</v>
      </c>
      <c r="F75" s="74">
        <v>0</v>
      </c>
      <c r="G75" s="74">
        <v>23.71941</v>
      </c>
      <c r="H75" s="74">
        <v>0</v>
      </c>
      <c r="I75" s="74"/>
      <c r="J75" s="74">
        <v>0</v>
      </c>
      <c r="K75" s="74">
        <v>21.81587352738304</v>
      </c>
      <c r="L75" s="74">
        <v>0</v>
      </c>
      <c r="M75" s="74">
        <v>18.314484708925441</v>
      </c>
      <c r="N75" s="74">
        <v>0</v>
      </c>
    </row>
    <row r="76" spans="1:14" x14ac:dyDescent="0.25">
      <c r="A76" t="e">
        <f>VLOOKUP(VALUE(RIGHT(B76,4)),'Waste Lookups'!$B$1:$C$295,2,FALSE)</f>
        <v>#N/A</v>
      </c>
      <c r="B76" s="74" t="s">
        <v>972</v>
      </c>
      <c r="C76" s="74" t="s">
        <v>973</v>
      </c>
      <c r="D76" s="74">
        <v>0</v>
      </c>
      <c r="E76" s="74">
        <v>13.597560000000001</v>
      </c>
      <c r="F76" s="74">
        <v>0</v>
      </c>
      <c r="G76" s="74">
        <v>5.5252799999999986</v>
      </c>
      <c r="H76" s="74">
        <v>0</v>
      </c>
      <c r="I76" s="74"/>
      <c r="J76" s="74">
        <v>0</v>
      </c>
      <c r="K76" s="74">
        <v>12.1544399573985</v>
      </c>
      <c r="L76" s="74">
        <v>0</v>
      </c>
      <c r="M76" s="74">
        <v>4.9388775639022562</v>
      </c>
      <c r="N76" s="74">
        <v>0</v>
      </c>
    </row>
    <row r="77" spans="1:14" x14ac:dyDescent="0.25">
      <c r="A77" t="str">
        <f>VLOOKUP(VALUE(RIGHT(B77,4)),'Waste Lookups'!$B$1:$C$295,2,FALSE)</f>
        <v>RIDLEY HOUSE</v>
      </c>
      <c r="B77" s="74" t="s">
        <v>662</v>
      </c>
      <c r="C77" s="74" t="s">
        <v>974</v>
      </c>
      <c r="D77" s="74">
        <v>0</v>
      </c>
      <c r="E77" s="74">
        <v>16.1235</v>
      </c>
      <c r="F77" s="74">
        <v>0</v>
      </c>
      <c r="G77" s="74">
        <v>0</v>
      </c>
      <c r="H77" s="74">
        <v>5.721254190494971</v>
      </c>
      <c r="I77" s="74"/>
      <c r="J77" s="74">
        <v>0</v>
      </c>
      <c r="K77" s="74">
        <v>9.2748637672789354</v>
      </c>
      <c r="L77" s="74">
        <v>0</v>
      </c>
      <c r="M77" s="74">
        <v>0</v>
      </c>
      <c r="N77" s="74">
        <v>3.2910877411737269</v>
      </c>
    </row>
    <row r="78" spans="1:14" x14ac:dyDescent="0.25">
      <c r="A78" t="e">
        <f>VLOOKUP(VALUE(RIGHT(B78,4)),'Waste Lookups'!$B$1:$C$295,2,FALSE)</f>
        <v>#N/A</v>
      </c>
      <c r="B78" s="74" t="s">
        <v>975</v>
      </c>
      <c r="C78" s="74" t="s">
        <v>976</v>
      </c>
      <c r="D78" s="74">
        <v>0</v>
      </c>
      <c r="E78" s="74">
        <v>3.5567999999999995</v>
      </c>
      <c r="F78" s="74">
        <v>0</v>
      </c>
      <c r="G78" s="74">
        <v>0</v>
      </c>
      <c r="H78" s="74">
        <v>0</v>
      </c>
      <c r="I78" s="74"/>
      <c r="J78" s="74">
        <v>0</v>
      </c>
      <c r="K78" s="74">
        <v>3.7803699999999996</v>
      </c>
      <c r="L78" s="74">
        <v>0</v>
      </c>
      <c r="M78" s="74">
        <v>0</v>
      </c>
      <c r="N78" s="74">
        <v>0</v>
      </c>
    </row>
    <row r="79" spans="1:14" x14ac:dyDescent="0.25">
      <c r="A79" t="str">
        <f>VLOOKUP(VALUE(RIGHT(B79,4)),'Waste Lookups'!$B$1:$C$295,2,FALSE)</f>
        <v>Riverside house</v>
      </c>
      <c r="B79" s="74" t="s">
        <v>762</v>
      </c>
      <c r="C79" s="74" t="s">
        <v>977</v>
      </c>
      <c r="D79" s="74">
        <v>0</v>
      </c>
      <c r="E79" s="74">
        <v>13.800180000000003</v>
      </c>
      <c r="F79" s="74">
        <v>0</v>
      </c>
      <c r="G79" s="74">
        <v>9.7057800000000007</v>
      </c>
      <c r="H79" s="74">
        <v>13.914150266219682</v>
      </c>
      <c r="I79" s="74"/>
      <c r="J79" s="74">
        <v>0</v>
      </c>
      <c r="K79" s="74">
        <v>6.7357910701949484</v>
      </c>
      <c r="L79" s="74">
        <v>0</v>
      </c>
      <c r="M79" s="74">
        <v>4.7373372125056861</v>
      </c>
      <c r="N79" s="74">
        <v>6.7914193229764521</v>
      </c>
    </row>
    <row r="80" spans="1:14" x14ac:dyDescent="0.25">
      <c r="A80" t="str">
        <f>VLOOKUP(VALUE(RIGHT(B80,4)),'Waste Lookups'!$B$1:$C$295,2,FALSE)</f>
        <v>RIVERSIDE HOUSE - 2ND FLOOR</v>
      </c>
      <c r="B80" s="74" t="s">
        <v>750</v>
      </c>
      <c r="C80" s="74" t="s">
        <v>978</v>
      </c>
      <c r="D80" s="74">
        <v>0</v>
      </c>
      <c r="E80" s="74">
        <v>6.4337399999999993</v>
      </c>
      <c r="F80" s="74">
        <v>0</v>
      </c>
      <c r="G80" s="74">
        <v>5.6377799999999993</v>
      </c>
      <c r="H80" s="74">
        <v>5.4836048116742262</v>
      </c>
      <c r="I80" s="74"/>
      <c r="J80" s="74">
        <v>0</v>
      </c>
      <c r="K80" s="74">
        <v>6.3075828718993519</v>
      </c>
      <c r="L80" s="74">
        <v>0</v>
      </c>
      <c r="M80" s="74">
        <v>5.5272305942634805</v>
      </c>
      <c r="N80" s="74">
        <v>5.3760785773719819</v>
      </c>
    </row>
    <row r="81" spans="1:14" x14ac:dyDescent="0.25">
      <c r="A81" t="str">
        <f>VLOOKUP(VALUE(RIGHT(B81,4)),'Waste Lookups'!$B$1:$C$295,2,FALSE)</f>
        <v>4 Wavell Drive</v>
      </c>
      <c r="B81" s="74" t="s">
        <v>659</v>
      </c>
      <c r="C81" s="74" t="s">
        <v>979</v>
      </c>
      <c r="D81" s="74">
        <v>0</v>
      </c>
      <c r="E81" s="74">
        <v>2.1167999999999996</v>
      </c>
      <c r="F81" s="74">
        <v>0</v>
      </c>
      <c r="G81" s="74">
        <v>7.4088000000000003</v>
      </c>
      <c r="H81" s="74">
        <v>10.258767107079471</v>
      </c>
      <c r="I81" s="74"/>
      <c r="J81" s="74">
        <v>0</v>
      </c>
      <c r="K81" s="74">
        <v>1.2211515667072566</v>
      </c>
      <c r="L81" s="74">
        <v>0</v>
      </c>
      <c r="M81" s="74">
        <v>4.2740304834753982</v>
      </c>
      <c r="N81" s="74">
        <v>5.9181356412013253</v>
      </c>
    </row>
    <row r="82" spans="1:14" x14ac:dyDescent="0.25">
      <c r="A82" t="str">
        <f>VLOOKUP(VALUE(RIGHT(B82,4)),'Waste Lookups'!$B$1:$C$295,2,FALSE)</f>
        <v>ANNE BURROWS THOMAS HEALTH CENTRE</v>
      </c>
      <c r="B82" s="74" t="s">
        <v>660</v>
      </c>
      <c r="C82" s="74" t="s">
        <v>980</v>
      </c>
      <c r="D82" s="74">
        <v>0</v>
      </c>
      <c r="E82" s="74">
        <v>0</v>
      </c>
      <c r="F82" s="74">
        <v>0</v>
      </c>
      <c r="G82" s="74">
        <v>0</v>
      </c>
      <c r="H82" s="74">
        <v>2.3853283376059951</v>
      </c>
      <c r="I82" s="74"/>
      <c r="J82" s="74">
        <v>0</v>
      </c>
      <c r="K82" s="74">
        <v>0</v>
      </c>
      <c r="L82" s="74">
        <v>0</v>
      </c>
      <c r="M82" s="74">
        <v>0</v>
      </c>
      <c r="N82" s="74">
        <v>0</v>
      </c>
    </row>
    <row r="83" spans="1:14" x14ac:dyDescent="0.25">
      <c r="A83" t="str">
        <f>VLOOKUP(VALUE(RIGHT(B83,4)),'Waste Lookups'!$B$1:$C$295,2,FALSE)</f>
        <v>STAFFORD HOUSE</v>
      </c>
      <c r="B83" s="74" t="s">
        <v>661</v>
      </c>
      <c r="C83" s="74" t="s">
        <v>981</v>
      </c>
      <c r="D83" s="74">
        <v>0</v>
      </c>
      <c r="E83" s="74">
        <v>2.6470799999999999</v>
      </c>
      <c r="F83" s="74">
        <v>0</v>
      </c>
      <c r="G83" s="74">
        <v>2.5704000000000002</v>
      </c>
      <c r="H83" s="74">
        <v>7.5614466574640113</v>
      </c>
      <c r="I83" s="74"/>
      <c r="J83" s="74">
        <v>0</v>
      </c>
      <c r="K83" s="74">
        <v>0.32601696223606458</v>
      </c>
      <c r="L83" s="74">
        <v>0</v>
      </c>
      <c r="M83" s="74">
        <v>0.31657297842588067</v>
      </c>
      <c r="N83" s="74">
        <v>0.93127516711865954</v>
      </c>
    </row>
    <row r="84" spans="1:14" x14ac:dyDescent="0.25">
      <c r="A84" t="e">
        <f>VLOOKUP(VALUE(RIGHT(B84,4)),'Waste Lookups'!$B$1:$C$295,2,FALSE)</f>
        <v>#N/A</v>
      </c>
      <c r="B84" s="74" t="s">
        <v>982</v>
      </c>
      <c r="C84" s="74" t="s">
        <v>983</v>
      </c>
      <c r="D84" s="74">
        <v>0</v>
      </c>
      <c r="E84" s="74">
        <v>10.2096</v>
      </c>
      <c r="F84" s="74">
        <v>0</v>
      </c>
      <c r="G84" s="74">
        <v>0</v>
      </c>
      <c r="H84" s="74">
        <v>3.220193255768093</v>
      </c>
      <c r="I84" s="74"/>
      <c r="J84" s="74">
        <v>0</v>
      </c>
      <c r="K84" s="74">
        <v>20.047684700074054</v>
      </c>
      <c r="L84" s="74">
        <v>0</v>
      </c>
      <c r="M84" s="74">
        <v>0</v>
      </c>
      <c r="N84" s="74">
        <v>6.3232074777605058</v>
      </c>
    </row>
    <row r="85" spans="1:14" x14ac:dyDescent="0.25">
      <c r="A85" t="e">
        <f>VLOOKUP(VALUE(RIGHT(B85,4)),'Waste Lookups'!$B$1:$C$295,2,FALSE)</f>
        <v>#N/A</v>
      </c>
      <c r="B85" s="74" t="s">
        <v>984</v>
      </c>
      <c r="C85" s="74" t="s">
        <v>985</v>
      </c>
      <c r="D85" s="74">
        <v>0</v>
      </c>
      <c r="E85" s="74">
        <v>0</v>
      </c>
      <c r="F85" s="74">
        <v>0</v>
      </c>
      <c r="G85" s="74">
        <v>0</v>
      </c>
      <c r="H85" s="74">
        <v>3.4931808321830018</v>
      </c>
      <c r="I85" s="74"/>
      <c r="J85" s="74">
        <v>0</v>
      </c>
      <c r="K85" s="74">
        <v>0</v>
      </c>
      <c r="L85" s="74">
        <v>0</v>
      </c>
      <c r="M85" s="74">
        <v>0</v>
      </c>
      <c r="N85" s="74">
        <v>1.3788228488792478</v>
      </c>
    </row>
    <row r="86" spans="1:14" x14ac:dyDescent="0.25">
      <c r="A86" t="e">
        <f>VLOOKUP(VALUE(RIGHT(B86,4)),'Waste Lookups'!$B$1:$C$295,2,FALSE)</f>
        <v>#N/A</v>
      </c>
      <c r="B86" s="74" t="s">
        <v>986</v>
      </c>
      <c r="C86" s="74" t="s">
        <v>987</v>
      </c>
      <c r="D86" s="74">
        <v>0</v>
      </c>
      <c r="E86" s="74">
        <v>5.1136799999999996</v>
      </c>
      <c r="F86" s="74">
        <v>0</v>
      </c>
      <c r="G86" s="74">
        <v>0</v>
      </c>
      <c r="H86" s="74">
        <v>0</v>
      </c>
      <c r="I86" s="74"/>
      <c r="J86" s="74">
        <v>0</v>
      </c>
      <c r="K86" s="74">
        <v>0</v>
      </c>
      <c r="L86" s="74">
        <v>0</v>
      </c>
      <c r="M86" s="74">
        <v>0</v>
      </c>
      <c r="N86" s="74">
        <v>0</v>
      </c>
    </row>
    <row r="87" spans="1:14" x14ac:dyDescent="0.25">
      <c r="A87" t="e">
        <f>VLOOKUP(VALUE(RIGHT(B87,4)),'Waste Lookups'!$B$1:$C$295,2,FALSE)</f>
        <v>#N/A</v>
      </c>
      <c r="B87" s="74" t="s">
        <v>988</v>
      </c>
      <c r="C87" s="74" t="s">
        <v>989</v>
      </c>
      <c r="D87" s="74">
        <v>0</v>
      </c>
      <c r="E87" s="74">
        <v>4.7873999999999999</v>
      </c>
      <c r="F87" s="74">
        <v>0</v>
      </c>
      <c r="G87" s="74">
        <v>0</v>
      </c>
      <c r="H87" s="74">
        <v>3.3341147702622753</v>
      </c>
      <c r="I87" s="74"/>
      <c r="J87" s="74">
        <v>0</v>
      </c>
      <c r="K87" s="74">
        <v>0</v>
      </c>
      <c r="L87" s="74">
        <v>0</v>
      </c>
      <c r="M87" s="74">
        <v>0</v>
      </c>
      <c r="N87" s="74">
        <v>0</v>
      </c>
    </row>
    <row r="88" spans="1:14" x14ac:dyDescent="0.25">
      <c r="A88" t="e">
        <f>VLOOKUP(VALUE(RIGHT(B88,4)),'Waste Lookups'!$B$1:$C$295,2,FALSE)</f>
        <v>#N/A</v>
      </c>
      <c r="B88" s="74" t="s">
        <v>990</v>
      </c>
      <c r="C88" s="74" t="s">
        <v>991</v>
      </c>
      <c r="D88" s="74">
        <v>0</v>
      </c>
      <c r="E88" s="74">
        <v>2.2120799999999998</v>
      </c>
      <c r="F88" s="74">
        <v>0</v>
      </c>
      <c r="G88" s="74">
        <v>0</v>
      </c>
      <c r="H88" s="74">
        <v>0</v>
      </c>
      <c r="I88" s="74"/>
      <c r="J88" s="74">
        <v>0</v>
      </c>
      <c r="K88" s="74">
        <v>7.1512650000000004</v>
      </c>
      <c r="L88" s="74">
        <v>0</v>
      </c>
      <c r="M88" s="74">
        <v>0</v>
      </c>
      <c r="N88" s="74">
        <v>0</v>
      </c>
    </row>
    <row r="89" spans="1:14" x14ac:dyDescent="0.25">
      <c r="A89" t="e">
        <f>VLOOKUP(VALUE(RIGHT(B89,4)),'Waste Lookups'!$B$1:$C$295,2,FALSE)</f>
        <v>#N/A</v>
      </c>
      <c r="B89" s="74" t="s">
        <v>992</v>
      </c>
      <c r="C89" s="74" t="s">
        <v>993</v>
      </c>
      <c r="D89" s="74">
        <v>0.30654545454545451</v>
      </c>
      <c r="E89" s="74">
        <v>0.32400000000000001</v>
      </c>
      <c r="F89" s="74">
        <v>0</v>
      </c>
      <c r="G89" s="74">
        <v>0</v>
      </c>
      <c r="H89" s="74">
        <v>2.4211082626700851</v>
      </c>
      <c r="I89" s="74"/>
      <c r="J89" s="74">
        <v>0.24215002986093331</v>
      </c>
      <c r="K89" s="74">
        <v>0.25593793191707187</v>
      </c>
      <c r="L89" s="74">
        <v>0</v>
      </c>
      <c r="M89" s="74">
        <v>0</v>
      </c>
      <c r="N89" s="74">
        <v>1.9125106225157915</v>
      </c>
    </row>
    <row r="90" spans="1:14" x14ac:dyDescent="0.25">
      <c r="A90" t="e">
        <f>VLOOKUP(VALUE(RIGHT(B90,4)),'Waste Lookups'!$B$1:$C$295,2,FALSE)</f>
        <v>#N/A</v>
      </c>
      <c r="B90" s="74" t="s">
        <v>994</v>
      </c>
      <c r="C90" s="74" t="s">
        <v>995</v>
      </c>
      <c r="D90" s="74">
        <v>10.880575757575757</v>
      </c>
      <c r="E90" s="74">
        <v>15.631680000000003</v>
      </c>
      <c r="F90" s="74">
        <v>0</v>
      </c>
      <c r="G90" s="74">
        <v>17.261280000000003</v>
      </c>
      <c r="H90" s="74">
        <v>3.7213772431473084</v>
      </c>
      <c r="I90" s="74"/>
      <c r="J90" s="74">
        <v>11.082336407443591</v>
      </c>
      <c r="K90" s="74">
        <v>15.921541307489186</v>
      </c>
      <c r="L90" s="74">
        <v>0</v>
      </c>
      <c r="M90" s="74">
        <v>17.581359299840898</v>
      </c>
      <c r="N90" s="74">
        <v>3.7903834710997213</v>
      </c>
    </row>
    <row r="91" spans="1:14" x14ac:dyDescent="0.25">
      <c r="A91" t="e">
        <f>VLOOKUP(VALUE(RIGHT(B91,4)),'Waste Lookups'!$B$1:$C$295,2,FALSE)</f>
        <v>#N/A</v>
      </c>
      <c r="B91" s="74" t="s">
        <v>996</v>
      </c>
      <c r="C91" s="74" t="s">
        <v>997</v>
      </c>
      <c r="D91" s="74">
        <v>0.16363636363636364</v>
      </c>
      <c r="E91" s="74">
        <v>0</v>
      </c>
      <c r="F91" s="74">
        <v>0</v>
      </c>
      <c r="G91" s="74">
        <v>0</v>
      </c>
      <c r="H91" s="74">
        <v>2.0672845592585292</v>
      </c>
      <c r="I91" s="74"/>
      <c r="J91" s="74">
        <v>0.18620689655172412</v>
      </c>
      <c r="K91" s="74">
        <v>0</v>
      </c>
      <c r="L91" s="74">
        <v>0</v>
      </c>
      <c r="M91" s="74">
        <v>0</v>
      </c>
      <c r="N91" s="74">
        <v>2.3524272570872915</v>
      </c>
    </row>
    <row r="92" spans="1:14" x14ac:dyDescent="0.25">
      <c r="A92" t="e">
        <f>VLOOKUP(VALUE(RIGHT(B92,4)),'Waste Lookups'!$B$1:$C$295,2,FALSE)</f>
        <v>#N/A</v>
      </c>
      <c r="B92" s="74" t="s">
        <v>998</v>
      </c>
      <c r="C92" s="74" t="s">
        <v>999</v>
      </c>
      <c r="D92" s="74">
        <v>3.097666666666667</v>
      </c>
      <c r="E92" s="74">
        <v>2.1657599999999997</v>
      </c>
      <c r="F92" s="74">
        <v>0</v>
      </c>
      <c r="G92" s="74">
        <v>1.8246600000000002</v>
      </c>
      <c r="H92" s="74">
        <v>2.8623940051271939</v>
      </c>
      <c r="I92" s="74"/>
      <c r="J92" s="74">
        <v>5.7868059191400123</v>
      </c>
      <c r="K92" s="74">
        <v>4.0458945832680522</v>
      </c>
      <c r="L92" s="74">
        <v>0</v>
      </c>
      <c r="M92" s="74">
        <v>3.4086796368507519</v>
      </c>
      <c r="N92" s="74">
        <v>5.3472888965181093</v>
      </c>
    </row>
    <row r="93" spans="1:14" x14ac:dyDescent="0.25">
      <c r="A93" t="e">
        <f>VLOOKUP(VALUE(RIGHT(B93,4)),'Waste Lookups'!$B$1:$C$295,2,FALSE)</f>
        <v>#N/A</v>
      </c>
      <c r="B93" s="74" t="s">
        <v>1000</v>
      </c>
      <c r="C93" s="74" t="s">
        <v>1001</v>
      </c>
      <c r="D93" s="74">
        <v>6.40078787878788</v>
      </c>
      <c r="E93" s="74">
        <v>2.4188999999999998</v>
      </c>
      <c r="F93" s="74">
        <v>0</v>
      </c>
      <c r="G93" s="74">
        <v>3.93615</v>
      </c>
      <c r="H93" s="74">
        <v>1.2045908104910275</v>
      </c>
      <c r="I93" s="74"/>
      <c r="J93" s="74">
        <v>6.9993332968183024</v>
      </c>
      <c r="K93" s="74">
        <v>2.645094265314095</v>
      </c>
      <c r="L93" s="74">
        <v>0</v>
      </c>
      <c r="M93" s="74">
        <v>4.3042241483385322</v>
      </c>
      <c r="N93" s="74">
        <v>1.3172335544585863</v>
      </c>
    </row>
    <row r="94" spans="1:14" x14ac:dyDescent="0.25">
      <c r="A94" t="e">
        <f>VLOOKUP(VALUE(RIGHT(B94,4)),'Waste Lookups'!$B$1:$C$295,2,FALSE)</f>
        <v>#N/A</v>
      </c>
      <c r="B94" s="74" t="s">
        <v>1002</v>
      </c>
      <c r="C94" s="74" t="s">
        <v>1003</v>
      </c>
      <c r="D94" s="74">
        <v>6.7440606060606072</v>
      </c>
      <c r="E94" s="74">
        <v>16.66788</v>
      </c>
      <c r="F94" s="74">
        <v>0</v>
      </c>
      <c r="G94" s="74">
        <v>9.1103400000000008</v>
      </c>
      <c r="H94" s="74">
        <v>2.4476119108657071</v>
      </c>
      <c r="I94" s="74"/>
      <c r="J94" s="74">
        <v>6.8436416789787486</v>
      </c>
      <c r="K94" s="74">
        <v>16.913993650310207</v>
      </c>
      <c r="L94" s="74">
        <v>0</v>
      </c>
      <c r="M94" s="74">
        <v>9.2448609488529474</v>
      </c>
      <c r="N94" s="74">
        <v>2.4837527219302156</v>
      </c>
    </row>
    <row r="95" spans="1:14" x14ac:dyDescent="0.25">
      <c r="A95" t="e">
        <f>VLOOKUP(VALUE(RIGHT(B95,4)),'Waste Lookups'!$B$1:$C$295,2,FALSE)</f>
        <v>#N/A</v>
      </c>
      <c r="B95" s="74" t="s">
        <v>1004</v>
      </c>
      <c r="C95" s="74" t="s">
        <v>1005</v>
      </c>
      <c r="D95" s="74">
        <v>5.0718181818181822</v>
      </c>
      <c r="E95" s="74">
        <v>11.838239999999999</v>
      </c>
      <c r="F95" s="74">
        <v>0</v>
      </c>
      <c r="G95" s="74">
        <v>7.4022299999999994</v>
      </c>
      <c r="H95" s="74">
        <v>2.5682035101557874</v>
      </c>
      <c r="I95" s="74"/>
      <c r="J95" s="74">
        <v>6.2178453790730233</v>
      </c>
      <c r="K95" s="74">
        <v>14.513206751818096</v>
      </c>
      <c r="L95" s="74">
        <v>0</v>
      </c>
      <c r="M95" s="74">
        <v>9.0748366661353774</v>
      </c>
      <c r="N95" s="74">
        <v>3.1485143504132291</v>
      </c>
    </row>
    <row r="96" spans="1:14" x14ac:dyDescent="0.25">
      <c r="A96" t="e">
        <f>VLOOKUP(VALUE(RIGHT(B96,4)),'Waste Lookups'!$B$1:$C$295,2,FALSE)</f>
        <v>#N/A</v>
      </c>
      <c r="B96" s="74" t="s">
        <v>1006</v>
      </c>
      <c r="C96" s="74" t="s">
        <v>1007</v>
      </c>
      <c r="D96" s="74">
        <v>6.7068484848484848</v>
      </c>
      <c r="E96" s="74">
        <v>3.9426000000000001</v>
      </c>
      <c r="F96" s="74">
        <v>0</v>
      </c>
      <c r="G96" s="74">
        <v>1.6268399999999998</v>
      </c>
      <c r="H96" s="74">
        <v>3.6363005324393614</v>
      </c>
      <c r="I96" s="74"/>
      <c r="J96" s="74">
        <v>7.4852420092070622</v>
      </c>
      <c r="K96" s="74">
        <v>4.40017620976068</v>
      </c>
      <c r="L96" s="74">
        <v>0</v>
      </c>
      <c r="M96" s="74">
        <v>1.8156502473208198</v>
      </c>
      <c r="N96" s="74">
        <v>4.0583277771977304</v>
      </c>
    </row>
    <row r="97" spans="1:14" x14ac:dyDescent="0.25">
      <c r="A97" t="e">
        <f>VLOOKUP(VALUE(RIGHT(B97,4)),'Waste Lookups'!$B$1:$C$295,2,FALSE)</f>
        <v>#N/A</v>
      </c>
      <c r="B97" s="74" t="s">
        <v>1008</v>
      </c>
      <c r="C97" s="74" t="s">
        <v>1009</v>
      </c>
      <c r="D97" s="74">
        <v>3.1653030303030305</v>
      </c>
      <c r="E97" s="74">
        <v>2.29236</v>
      </c>
      <c r="F97" s="74">
        <v>0</v>
      </c>
      <c r="G97" s="74">
        <v>1.98621</v>
      </c>
      <c r="H97" s="74">
        <v>2.4211082626700851</v>
      </c>
      <c r="I97" s="74"/>
      <c r="J97" s="74">
        <v>5.5673675494468231</v>
      </c>
      <c r="K97" s="74">
        <v>4.0319712057483832</v>
      </c>
      <c r="L97" s="74">
        <v>0</v>
      </c>
      <c r="M97" s="74">
        <v>3.4934920904960372</v>
      </c>
      <c r="N97" s="74">
        <v>4.2584231102816634</v>
      </c>
    </row>
    <row r="98" spans="1:14" x14ac:dyDescent="0.25">
      <c r="A98" t="e">
        <f>VLOOKUP(VALUE(RIGHT(B98,4)),'Waste Lookups'!$B$1:$C$295,2,FALSE)</f>
        <v>#N/A</v>
      </c>
      <c r="B98" s="74" t="s">
        <v>1010</v>
      </c>
      <c r="C98" s="74" t="s">
        <v>1011</v>
      </c>
      <c r="D98" s="74">
        <v>3.9932727272727271</v>
      </c>
      <c r="E98" s="74">
        <v>8.3369399999999985</v>
      </c>
      <c r="F98" s="74">
        <v>0</v>
      </c>
      <c r="G98" s="74">
        <v>10.18296</v>
      </c>
      <c r="H98" s="74">
        <v>2.659641096430684</v>
      </c>
      <c r="I98" s="74"/>
      <c r="J98" s="74">
        <v>4.1494750304561565</v>
      </c>
      <c r="K98" s="74">
        <v>8.6630507663917182</v>
      </c>
      <c r="L98" s="74">
        <v>0</v>
      </c>
      <c r="M98" s="74">
        <v>10.581280353719256</v>
      </c>
      <c r="N98" s="74">
        <v>2.7636765814268487</v>
      </c>
    </row>
    <row r="99" spans="1:14" x14ac:dyDescent="0.25">
      <c r="A99" t="e">
        <f>VLOOKUP(VALUE(RIGHT(B99,4)),'Waste Lookups'!$B$1:$C$295,2,FALSE)</f>
        <v>#N/A</v>
      </c>
      <c r="B99" s="74" t="s">
        <v>1012</v>
      </c>
      <c r="C99" s="74" t="s">
        <v>1013</v>
      </c>
      <c r="D99" s="74">
        <v>6.8608484848484848</v>
      </c>
      <c r="E99" s="74">
        <v>0.32400000000000001</v>
      </c>
      <c r="F99" s="74">
        <v>0</v>
      </c>
      <c r="G99" s="74">
        <v>0</v>
      </c>
      <c r="H99" s="74">
        <v>3.4627016367580365</v>
      </c>
      <c r="I99" s="74"/>
      <c r="J99" s="74">
        <v>10.362583693139365</v>
      </c>
      <c r="K99" s="74">
        <v>0.48936762325998234</v>
      </c>
      <c r="L99" s="74">
        <v>0</v>
      </c>
      <c r="M99" s="74">
        <v>0</v>
      </c>
      <c r="N99" s="74">
        <v>5.2300434260454649</v>
      </c>
    </row>
    <row r="100" spans="1:14" x14ac:dyDescent="0.25">
      <c r="A100" t="e">
        <f>VLOOKUP(VALUE(RIGHT(B100,4)),'Waste Lookups'!$B$1:$C$295,2,FALSE)</f>
        <v>#N/A</v>
      </c>
      <c r="B100" s="74" t="s">
        <v>1014</v>
      </c>
      <c r="C100" s="74" t="s">
        <v>1015</v>
      </c>
      <c r="D100" s="74">
        <v>6.3746363636363643</v>
      </c>
      <c r="E100" s="74">
        <v>0.32400000000000001</v>
      </c>
      <c r="F100" s="74">
        <v>0</v>
      </c>
      <c r="G100" s="74">
        <v>0</v>
      </c>
      <c r="H100" s="74">
        <v>1.2681995661605208</v>
      </c>
      <c r="I100" s="74"/>
      <c r="J100" s="74">
        <v>10.771048497516427</v>
      </c>
      <c r="K100" s="74">
        <v>0.5474539274275686</v>
      </c>
      <c r="L100" s="74">
        <v>0</v>
      </c>
      <c r="M100" s="74">
        <v>0</v>
      </c>
      <c r="N100" s="74">
        <v>2.1428420779522095</v>
      </c>
    </row>
    <row r="101" spans="1:14" x14ac:dyDescent="0.25">
      <c r="A101" t="e">
        <f>VLOOKUP(VALUE(RIGHT(B101,4)),'Waste Lookups'!$B$1:$C$295,2,FALSE)</f>
        <v>#N/A</v>
      </c>
      <c r="B101" s="74" t="s">
        <v>1016</v>
      </c>
      <c r="C101" s="74" t="s">
        <v>1017</v>
      </c>
      <c r="D101" s="74">
        <v>0</v>
      </c>
      <c r="E101" s="74">
        <v>1.8158399999999999</v>
      </c>
      <c r="F101" s="74">
        <v>0</v>
      </c>
      <c r="G101" s="74">
        <v>0</v>
      </c>
      <c r="H101" s="74">
        <v>0</v>
      </c>
      <c r="I101" s="74"/>
      <c r="J101" s="74">
        <v>0</v>
      </c>
      <c r="K101" s="74">
        <v>23.467565</v>
      </c>
      <c r="L101" s="74">
        <v>0</v>
      </c>
      <c r="M101" s="74">
        <v>0</v>
      </c>
      <c r="N101" s="74">
        <v>0</v>
      </c>
    </row>
    <row r="102" spans="1:14" x14ac:dyDescent="0.25">
      <c r="A102" t="e">
        <f>VLOOKUP(VALUE(RIGHT(B102,4)),'Waste Lookups'!$B$1:$C$295,2,FALSE)</f>
        <v>#N/A</v>
      </c>
      <c r="B102" s="74" t="s">
        <v>1018</v>
      </c>
      <c r="C102" s="74" t="s">
        <v>1019</v>
      </c>
      <c r="D102" s="74">
        <v>1.0666060606060608</v>
      </c>
      <c r="E102" s="74">
        <v>6.7875599999999991</v>
      </c>
      <c r="F102" s="74">
        <v>0</v>
      </c>
      <c r="G102" s="74">
        <v>7.7329799999999995</v>
      </c>
      <c r="H102" s="74">
        <v>3.6455768093078285</v>
      </c>
      <c r="I102" s="74"/>
      <c r="J102" s="74">
        <v>1.1833526601692612</v>
      </c>
      <c r="K102" s="74">
        <v>7.5305002275109247</v>
      </c>
      <c r="L102" s="74">
        <v>0</v>
      </c>
      <c r="M102" s="74">
        <v>8.5794022666963414</v>
      </c>
      <c r="N102" s="74">
        <v>4.0446076339511032</v>
      </c>
    </row>
    <row r="103" spans="1:14" x14ac:dyDescent="0.25">
      <c r="A103" t="e">
        <f>VLOOKUP(VALUE(RIGHT(B103,4)),'Waste Lookups'!$B$1:$C$295,2,FALSE)</f>
        <v>#N/A</v>
      </c>
      <c r="B103" s="74" t="s">
        <v>1020</v>
      </c>
      <c r="C103" s="74" t="s">
        <v>1021</v>
      </c>
      <c r="D103" s="74">
        <v>0</v>
      </c>
      <c r="E103" s="74">
        <v>2.0105399999999998</v>
      </c>
      <c r="F103" s="74">
        <v>0</v>
      </c>
      <c r="G103" s="74">
        <v>2.5318799999999997</v>
      </c>
      <c r="H103" s="74">
        <v>2.8756458292250047</v>
      </c>
      <c r="I103" s="74"/>
      <c r="J103" s="74">
        <v>0</v>
      </c>
      <c r="K103" s="74">
        <v>1.944639574762705</v>
      </c>
      <c r="L103" s="74">
        <v>0</v>
      </c>
      <c r="M103" s="74">
        <v>2.4488913657774516</v>
      </c>
      <c r="N103" s="74">
        <v>2.7813894190179052</v>
      </c>
    </row>
    <row r="104" spans="1:14" x14ac:dyDescent="0.25">
      <c r="A104" t="e">
        <f>VLOOKUP(VALUE(RIGHT(B104,4)),'Waste Lookups'!$B$1:$C$295,2,FALSE)</f>
        <v>#N/A</v>
      </c>
      <c r="B104" s="74" t="s">
        <v>1022</v>
      </c>
      <c r="C104" s="74" t="s">
        <v>1023</v>
      </c>
      <c r="D104" s="74">
        <v>13.975454545454546</v>
      </c>
      <c r="E104" s="74">
        <v>9.2153399999999994</v>
      </c>
      <c r="F104" s="74">
        <v>0</v>
      </c>
      <c r="G104" s="74">
        <v>7.0380000000000003</v>
      </c>
      <c r="H104" s="74">
        <v>2.7457779530664563</v>
      </c>
      <c r="I104" s="74"/>
      <c r="J104" s="74">
        <v>19.957826785311489</v>
      </c>
      <c r="K104" s="74">
        <v>13.160084266995877</v>
      </c>
      <c r="L104" s="74">
        <v>0</v>
      </c>
      <c r="M104" s="74">
        <v>10.050706004457457</v>
      </c>
      <c r="N104" s="74">
        <v>3.9211433588792186</v>
      </c>
    </row>
    <row r="105" spans="1:14" x14ac:dyDescent="0.25">
      <c r="A105" t="e">
        <f>VLOOKUP(VALUE(RIGHT(B105,4)),'Waste Lookups'!$B$1:$C$295,2,FALSE)</f>
        <v>#N/A</v>
      </c>
      <c r="B105" s="74" t="s">
        <v>1024</v>
      </c>
      <c r="C105" s="74" t="s">
        <v>1025</v>
      </c>
      <c r="D105" s="74">
        <v>0</v>
      </c>
      <c r="E105" s="74">
        <v>0.32400000000000001</v>
      </c>
      <c r="F105" s="74">
        <v>0</v>
      </c>
      <c r="G105" s="74">
        <v>0</v>
      </c>
      <c r="H105" s="74">
        <v>2.6477144547426543</v>
      </c>
      <c r="I105" s="74"/>
      <c r="J105" s="74">
        <v>0</v>
      </c>
      <c r="K105" s="74">
        <v>0.32006363636363638</v>
      </c>
      <c r="L105" s="74">
        <v>0</v>
      </c>
      <c r="M105" s="74">
        <v>0</v>
      </c>
      <c r="N105" s="74">
        <v>2.6155466556712859</v>
      </c>
    </row>
    <row r="106" spans="1:14" x14ac:dyDescent="0.25">
      <c r="A106" t="e">
        <f>VLOOKUP(VALUE(RIGHT(B106,4)),'Waste Lookups'!$B$1:$C$295,2,FALSE)</f>
        <v>#N/A</v>
      </c>
      <c r="B106" s="74" t="s">
        <v>1026</v>
      </c>
      <c r="C106" s="74" t="s">
        <v>1027</v>
      </c>
      <c r="D106" s="74">
        <v>7.192939393939394</v>
      </c>
      <c r="E106" s="74">
        <v>4.3872600000000004</v>
      </c>
      <c r="F106" s="74">
        <v>0</v>
      </c>
      <c r="G106" s="74">
        <v>4.4761500000000005</v>
      </c>
      <c r="H106" s="74">
        <v>3.6429706172352594</v>
      </c>
      <c r="I106" s="74"/>
      <c r="J106" s="74">
        <v>6.7739995620877833</v>
      </c>
      <c r="K106" s="74">
        <v>4.1317319236425165</v>
      </c>
      <c r="L106" s="74">
        <v>0</v>
      </c>
      <c r="M106" s="74">
        <v>4.2154446852961653</v>
      </c>
      <c r="N106" s="74">
        <v>3.4307923387541663</v>
      </c>
    </row>
    <row r="107" spans="1:14" x14ac:dyDescent="0.25">
      <c r="A107" t="e">
        <f>VLOOKUP(VALUE(RIGHT(B107,4)),'Waste Lookups'!$B$1:$C$295,2,FALSE)</f>
        <v>#N/A</v>
      </c>
      <c r="B107" s="74" t="s">
        <v>1028</v>
      </c>
      <c r="C107" s="74" t="s">
        <v>1029</v>
      </c>
      <c r="D107" s="74">
        <v>0</v>
      </c>
      <c r="E107" s="74">
        <v>7.9184999999999999</v>
      </c>
      <c r="F107" s="74">
        <v>0</v>
      </c>
      <c r="G107" s="74">
        <v>3.7220399999999993</v>
      </c>
      <c r="H107" s="74">
        <v>3.5589098797081435</v>
      </c>
      <c r="I107" s="74"/>
      <c r="J107" s="74">
        <v>0</v>
      </c>
      <c r="K107" s="74">
        <v>7.4470240829030443</v>
      </c>
      <c r="L107" s="74">
        <v>0</v>
      </c>
      <c r="M107" s="74">
        <v>3.5004257772972713</v>
      </c>
      <c r="N107" s="74">
        <v>3.3470085979753894</v>
      </c>
    </row>
    <row r="108" spans="1:14" x14ac:dyDescent="0.25">
      <c r="A108" t="str">
        <f>VLOOKUP(VALUE(RIGHT(B108,4)),'Waste Lookups'!$B$1:$C$295,2,FALSE)</f>
        <v>Headley Court</v>
      </c>
      <c r="B108" s="74" t="s">
        <v>760</v>
      </c>
      <c r="C108" s="74" t="s">
        <v>1030</v>
      </c>
      <c r="D108" s="74">
        <v>0</v>
      </c>
      <c r="E108" s="74">
        <v>0</v>
      </c>
      <c r="F108" s="74">
        <v>0</v>
      </c>
      <c r="G108" s="74">
        <v>0</v>
      </c>
      <c r="H108" s="74">
        <v>5.7247880102543878</v>
      </c>
      <c r="I108" s="74"/>
      <c r="J108" s="74">
        <v>0</v>
      </c>
      <c r="K108" s="74">
        <v>0</v>
      </c>
      <c r="L108" s="74">
        <v>0</v>
      </c>
      <c r="M108" s="74">
        <v>0</v>
      </c>
      <c r="N108" s="74">
        <v>4.6588922631959502</v>
      </c>
    </row>
    <row r="109" spans="1:14" x14ac:dyDescent="0.25">
      <c r="A109" t="e">
        <f>VLOOKUP(VALUE(RIGHT(B109,4)),'Waste Lookups'!$B$1:$C$295,2,FALSE)</f>
        <v>#N/A</v>
      </c>
      <c r="B109" s="74" t="s">
        <v>1031</v>
      </c>
      <c r="C109" s="74" t="s">
        <v>1032</v>
      </c>
      <c r="D109" s="74">
        <v>0</v>
      </c>
      <c r="E109" s="74">
        <v>8.9710800000000006</v>
      </c>
      <c r="F109" s="74">
        <v>0</v>
      </c>
      <c r="G109" s="74">
        <v>5.8690800000000003</v>
      </c>
      <c r="H109" s="74">
        <v>0</v>
      </c>
      <c r="I109" s="74"/>
      <c r="J109" s="74">
        <v>0</v>
      </c>
      <c r="K109" s="74">
        <v>-2.2752179057420947</v>
      </c>
      <c r="L109" s="74">
        <v>0</v>
      </c>
      <c r="M109" s="74">
        <v>-1.4884981413868579</v>
      </c>
      <c r="N109" s="74">
        <v>0</v>
      </c>
    </row>
    <row r="110" spans="1:14" x14ac:dyDescent="0.25">
      <c r="A110" t="e">
        <f>VLOOKUP(VALUE(RIGHT(B110,4)),'Waste Lookups'!$B$1:$C$295,2,FALSE)</f>
        <v>#N/A</v>
      </c>
      <c r="B110" s="74" t="s">
        <v>1033</v>
      </c>
      <c r="C110" s="74" t="s">
        <v>1034</v>
      </c>
      <c r="D110" s="74">
        <v>0</v>
      </c>
      <c r="E110" s="74">
        <v>9.1221599999999992</v>
      </c>
      <c r="F110" s="74">
        <v>0</v>
      </c>
      <c r="G110" s="74">
        <v>6.2888399999999995</v>
      </c>
      <c r="H110" s="74">
        <v>0</v>
      </c>
      <c r="I110" s="74"/>
      <c r="J110" s="74">
        <v>0</v>
      </c>
      <c r="K110" s="74">
        <v>2.789524754947907</v>
      </c>
      <c r="L110" s="74">
        <v>0</v>
      </c>
      <c r="M110" s="74">
        <v>1.9231053675781387</v>
      </c>
      <c r="N110" s="74">
        <v>0</v>
      </c>
    </row>
    <row r="111" spans="1:14" x14ac:dyDescent="0.25">
      <c r="A111" t="e">
        <f>VLOOKUP(VALUE(RIGHT(B111,4)),'Waste Lookups'!$B$1:$C$295,2,FALSE)</f>
        <v>#N/A</v>
      </c>
      <c r="B111" s="74" t="s">
        <v>1035</v>
      </c>
      <c r="C111" s="74" t="s">
        <v>1036</v>
      </c>
      <c r="D111" s="74">
        <v>0</v>
      </c>
      <c r="E111" s="74">
        <v>7.8001199999999997</v>
      </c>
      <c r="F111" s="74">
        <v>0</v>
      </c>
      <c r="G111" s="74">
        <v>0</v>
      </c>
      <c r="H111" s="74">
        <v>0</v>
      </c>
      <c r="I111" s="74"/>
      <c r="J111" s="74">
        <v>0</v>
      </c>
      <c r="K111" s="74">
        <v>6.9782349999999997</v>
      </c>
      <c r="L111" s="74">
        <v>0</v>
      </c>
      <c r="M111" s="74">
        <v>0</v>
      </c>
      <c r="N111" s="74">
        <v>0</v>
      </c>
    </row>
    <row r="112" spans="1:14" x14ac:dyDescent="0.25">
      <c r="A112" t="e">
        <f>VLOOKUP(VALUE(RIGHT(B112,4)),'Waste Lookups'!$B$1:$C$295,2,FALSE)</f>
        <v>#N/A</v>
      </c>
      <c r="B112" s="74" t="s">
        <v>1037</v>
      </c>
      <c r="C112" s="74" t="s">
        <v>1038</v>
      </c>
      <c r="D112" s="74">
        <v>0</v>
      </c>
      <c r="E112" s="74">
        <v>2.1151799999999996</v>
      </c>
      <c r="F112" s="74">
        <v>0</v>
      </c>
      <c r="G112" s="74">
        <v>2.0036700000000001</v>
      </c>
      <c r="H112" s="74">
        <v>0</v>
      </c>
      <c r="I112" s="74"/>
      <c r="J112" s="74">
        <v>0</v>
      </c>
      <c r="K112" s="74">
        <v>0</v>
      </c>
      <c r="L112" s="74">
        <v>0</v>
      </c>
      <c r="M112" s="74">
        <v>0</v>
      </c>
      <c r="N112" s="74">
        <v>0</v>
      </c>
    </row>
    <row r="113" spans="1:14" x14ac:dyDescent="0.25">
      <c r="A113" t="e">
        <f>VLOOKUP(VALUE(RIGHT(B113,4)),'Waste Lookups'!$B$1:$C$295,2,FALSE)</f>
        <v>#N/A</v>
      </c>
      <c r="B113" s="74" t="s">
        <v>1039</v>
      </c>
      <c r="C113" s="74" t="s">
        <v>1040</v>
      </c>
      <c r="D113" s="74">
        <v>0</v>
      </c>
      <c r="E113" s="74">
        <v>5.1879600000000003</v>
      </c>
      <c r="F113" s="74">
        <v>0</v>
      </c>
      <c r="G113" s="74">
        <v>0</v>
      </c>
      <c r="H113" s="74">
        <v>0</v>
      </c>
      <c r="I113" s="74"/>
      <c r="J113" s="74">
        <v>0</v>
      </c>
      <c r="K113" s="74">
        <v>9.7454499999999999</v>
      </c>
      <c r="L113" s="74">
        <v>0</v>
      </c>
      <c r="M113" s="74">
        <v>0</v>
      </c>
      <c r="N113" s="74">
        <v>0</v>
      </c>
    </row>
    <row r="114" spans="1:14" x14ac:dyDescent="0.25">
      <c r="A114" t="e">
        <f>VLOOKUP(VALUE(RIGHT(B114,4)),'Waste Lookups'!$B$1:$C$295,2,FALSE)</f>
        <v>#N/A</v>
      </c>
      <c r="B114" s="74" t="s">
        <v>1041</v>
      </c>
      <c r="C114" s="74" t="s">
        <v>1042</v>
      </c>
      <c r="D114" s="74">
        <v>0</v>
      </c>
      <c r="E114" s="74">
        <v>6.0808800000000005</v>
      </c>
      <c r="F114" s="74">
        <v>0</v>
      </c>
      <c r="G114" s="74">
        <v>0</v>
      </c>
      <c r="H114" s="74">
        <v>0</v>
      </c>
      <c r="I114" s="74"/>
      <c r="J114" s="74">
        <v>0</v>
      </c>
      <c r="K114" s="74">
        <v>6.8347949999999997</v>
      </c>
      <c r="L114" s="74">
        <v>0</v>
      </c>
      <c r="M114" s="74">
        <v>0</v>
      </c>
      <c r="N114" s="74">
        <v>0</v>
      </c>
    </row>
    <row r="115" spans="1:14" x14ac:dyDescent="0.25">
      <c r="A115" t="e">
        <f>VLOOKUP(VALUE(RIGHT(B115,4)),'Waste Lookups'!$B$1:$C$295,2,FALSE)</f>
        <v>#N/A</v>
      </c>
      <c r="B115" s="74" t="s">
        <v>1043</v>
      </c>
      <c r="C115" s="74" t="s">
        <v>1044</v>
      </c>
      <c r="D115" s="74">
        <v>0</v>
      </c>
      <c r="E115" s="74">
        <v>5.5612200000000005</v>
      </c>
      <c r="F115" s="74">
        <v>0</v>
      </c>
      <c r="G115" s="74">
        <v>0</v>
      </c>
      <c r="H115" s="74">
        <v>0</v>
      </c>
      <c r="I115" s="74"/>
      <c r="J115" s="74">
        <v>0</v>
      </c>
      <c r="K115" s="74">
        <v>6.5599049999999997</v>
      </c>
      <c r="L115" s="74">
        <v>0</v>
      </c>
      <c r="M115" s="74">
        <v>0</v>
      </c>
      <c r="N115" s="74">
        <v>0</v>
      </c>
    </row>
    <row r="116" spans="1:14" x14ac:dyDescent="0.25">
      <c r="A116" t="e">
        <f>VLOOKUP(VALUE(RIGHT(B116,4)),'Waste Lookups'!$B$1:$C$295,2,FALSE)</f>
        <v>#N/A</v>
      </c>
      <c r="B116" s="74" t="s">
        <v>1045</v>
      </c>
      <c r="C116" s="74" t="s">
        <v>1046</v>
      </c>
      <c r="D116" s="74">
        <v>0</v>
      </c>
      <c r="E116" s="74">
        <v>0</v>
      </c>
      <c r="F116" s="74">
        <v>0</v>
      </c>
      <c r="G116" s="74">
        <v>0</v>
      </c>
      <c r="H116" s="74">
        <v>1.6072253993295207</v>
      </c>
      <c r="I116" s="74"/>
      <c r="J116" s="74">
        <v>0</v>
      </c>
      <c r="K116" s="74">
        <v>0</v>
      </c>
      <c r="L116" s="74">
        <v>0</v>
      </c>
      <c r="M116" s="74">
        <v>0</v>
      </c>
      <c r="N116" s="74">
        <v>0</v>
      </c>
    </row>
    <row r="117" spans="1:14" x14ac:dyDescent="0.25">
      <c r="A117" t="e">
        <f>VLOOKUP(VALUE(RIGHT(B117,4)),'Waste Lookups'!$B$1:$C$295,2,FALSE)</f>
        <v>#N/A</v>
      </c>
      <c r="B117" s="74" t="s">
        <v>1047</v>
      </c>
      <c r="C117" s="74" t="s">
        <v>1048</v>
      </c>
      <c r="D117" s="74">
        <v>0</v>
      </c>
      <c r="E117" s="74">
        <v>7.4932800000000004</v>
      </c>
      <c r="F117" s="74">
        <v>0</v>
      </c>
      <c r="G117" s="74">
        <v>4.0200300000000002</v>
      </c>
      <c r="H117" s="74">
        <v>0</v>
      </c>
      <c r="I117" s="74"/>
      <c r="J117" s="74">
        <v>0</v>
      </c>
      <c r="K117" s="74">
        <v>2.5793343917902747</v>
      </c>
      <c r="L117" s="74">
        <v>0</v>
      </c>
      <c r="M117" s="74">
        <v>1.3837734123145882</v>
      </c>
      <c r="N117" s="74">
        <v>0</v>
      </c>
    </row>
    <row r="118" spans="1:14" x14ac:dyDescent="0.25">
      <c r="A118" t="e">
        <f>VLOOKUP(VALUE(RIGHT(B118,4)),'Waste Lookups'!$B$1:$C$295,2,FALSE)</f>
        <v>#N/A</v>
      </c>
      <c r="B118" s="74" t="s">
        <v>1049</v>
      </c>
      <c r="C118" s="74" t="s">
        <v>1050</v>
      </c>
      <c r="D118" s="74">
        <v>0</v>
      </c>
      <c r="E118" s="74">
        <v>3.7678199999999999</v>
      </c>
      <c r="F118" s="74">
        <v>0</v>
      </c>
      <c r="G118" s="74">
        <v>7.4549700000000003</v>
      </c>
      <c r="H118" s="74">
        <v>0</v>
      </c>
      <c r="I118" s="74"/>
      <c r="J118" s="74">
        <v>0</v>
      </c>
      <c r="K118" s="74">
        <v>3.7903248096546034</v>
      </c>
      <c r="L118" s="74">
        <v>0</v>
      </c>
      <c r="M118" s="74">
        <v>7.4994977855180922</v>
      </c>
      <c r="N118" s="74">
        <v>0</v>
      </c>
    </row>
    <row r="119" spans="1:14" x14ac:dyDescent="0.25">
      <c r="A119" t="e">
        <f>VLOOKUP(VALUE(RIGHT(B119,4)),'Waste Lookups'!$B$1:$C$295,2,FALSE)</f>
        <v>#N/A</v>
      </c>
      <c r="B119" s="74" t="s">
        <v>1051</v>
      </c>
      <c r="C119" s="74" t="s">
        <v>1052</v>
      </c>
      <c r="D119" s="74">
        <v>0</v>
      </c>
      <c r="E119" s="74">
        <v>0.31542000000000003</v>
      </c>
      <c r="F119" s="74">
        <v>0</v>
      </c>
      <c r="G119" s="74">
        <v>0.50534999999999997</v>
      </c>
      <c r="H119" s="74">
        <v>0</v>
      </c>
      <c r="I119" s="74"/>
      <c r="J119" s="74">
        <v>0</v>
      </c>
      <c r="K119" s="74">
        <v>0</v>
      </c>
      <c r="L119" s="74">
        <v>0</v>
      </c>
      <c r="M119" s="74">
        <v>0</v>
      </c>
      <c r="N119" s="74">
        <v>0</v>
      </c>
    </row>
    <row r="120" spans="1:14" x14ac:dyDescent="0.25">
      <c r="A120" t="e">
        <f>VLOOKUP(VALUE(RIGHT(B120,4)),'Waste Lookups'!$B$1:$C$295,2,FALSE)</f>
        <v>#N/A</v>
      </c>
      <c r="B120" s="74" t="s">
        <v>1053</v>
      </c>
      <c r="C120" s="74" t="s">
        <v>1054</v>
      </c>
      <c r="D120" s="74">
        <v>0</v>
      </c>
      <c r="E120" s="74">
        <v>4.1896199999999997</v>
      </c>
      <c r="F120" s="74">
        <v>0</v>
      </c>
      <c r="G120" s="74">
        <v>3.98889</v>
      </c>
      <c r="H120" s="74">
        <v>0</v>
      </c>
      <c r="I120" s="74"/>
      <c r="J120" s="74">
        <v>0</v>
      </c>
      <c r="K120" s="74">
        <v>3.0766137850860282</v>
      </c>
      <c r="L120" s="74">
        <v>0</v>
      </c>
      <c r="M120" s="74">
        <v>2.9292093223709568</v>
      </c>
      <c r="N120" s="74">
        <v>0</v>
      </c>
    </row>
    <row r="121" spans="1:14" x14ac:dyDescent="0.25">
      <c r="A121" t="e">
        <f>VLOOKUP(VALUE(RIGHT(B121,4)),'Waste Lookups'!$B$1:$C$295,2,FALSE)</f>
        <v>#N/A</v>
      </c>
      <c r="B121" s="74" t="s">
        <v>1055</v>
      </c>
      <c r="C121" s="74" t="s">
        <v>1056</v>
      </c>
      <c r="D121" s="74">
        <v>0</v>
      </c>
      <c r="E121" s="74">
        <v>16.05546</v>
      </c>
      <c r="F121" s="74">
        <v>0</v>
      </c>
      <c r="G121" s="74">
        <v>0</v>
      </c>
      <c r="H121" s="74">
        <v>0</v>
      </c>
      <c r="I121" s="74"/>
      <c r="J121" s="74">
        <v>0</v>
      </c>
      <c r="K121" s="74">
        <v>9.0296249999999993</v>
      </c>
      <c r="L121" s="74">
        <v>0</v>
      </c>
      <c r="M121" s="74">
        <v>0</v>
      </c>
      <c r="N121" s="74">
        <v>0</v>
      </c>
    </row>
    <row r="122" spans="1:14" x14ac:dyDescent="0.25">
      <c r="A122" t="e">
        <f>VLOOKUP(VALUE(RIGHT(B122,4)),'Waste Lookups'!$B$1:$C$295,2,FALSE)</f>
        <v>#N/A</v>
      </c>
      <c r="B122" s="74" t="s">
        <v>1057</v>
      </c>
      <c r="C122" s="74" t="s">
        <v>1058</v>
      </c>
      <c r="D122" s="74">
        <v>0</v>
      </c>
      <c r="E122" s="74">
        <v>9.2683800000000005</v>
      </c>
      <c r="F122" s="74">
        <v>0</v>
      </c>
      <c r="G122" s="74">
        <v>3.14316</v>
      </c>
      <c r="H122" s="74">
        <v>0</v>
      </c>
      <c r="I122" s="74"/>
      <c r="J122" s="74">
        <v>0</v>
      </c>
      <c r="K122" s="74">
        <v>12.545592100614055</v>
      </c>
      <c r="L122" s="74">
        <v>0</v>
      </c>
      <c r="M122" s="74">
        <v>4.2545518490789185</v>
      </c>
      <c r="N122" s="74">
        <v>0</v>
      </c>
    </row>
    <row r="123" spans="1:14" x14ac:dyDescent="0.25">
      <c r="A123" t="e">
        <f>VLOOKUP(VALUE(RIGHT(B123,4)),'Waste Lookups'!$B$1:$C$295,2,FALSE)</f>
        <v>#N/A</v>
      </c>
      <c r="B123" s="74" t="s">
        <v>1059</v>
      </c>
      <c r="C123" s="74" t="s">
        <v>1060</v>
      </c>
      <c r="D123" s="74">
        <v>0</v>
      </c>
      <c r="E123" s="74">
        <v>2.6257199999999998</v>
      </c>
      <c r="F123" s="74">
        <v>0</v>
      </c>
      <c r="G123" s="74">
        <v>0</v>
      </c>
      <c r="H123" s="74">
        <v>0</v>
      </c>
      <c r="I123" s="74"/>
      <c r="J123" s="74">
        <v>0</v>
      </c>
      <c r="K123" s="74">
        <v>1.7270000000000001E-2</v>
      </c>
      <c r="L123" s="74">
        <v>0</v>
      </c>
      <c r="M123" s="74">
        <v>0</v>
      </c>
      <c r="N123" s="74">
        <v>0</v>
      </c>
    </row>
    <row r="124" spans="1:14" x14ac:dyDescent="0.25">
      <c r="A124" t="e">
        <f>VLOOKUP(VALUE(RIGHT(B124,4)),'Waste Lookups'!$B$1:$C$295,2,FALSE)</f>
        <v>#N/A</v>
      </c>
      <c r="B124" s="74" t="s">
        <v>1061</v>
      </c>
      <c r="C124" s="74" t="s">
        <v>1062</v>
      </c>
      <c r="D124" s="74">
        <v>0</v>
      </c>
      <c r="E124" s="74">
        <v>4.4337600000000004</v>
      </c>
      <c r="F124" s="74">
        <v>0</v>
      </c>
      <c r="G124" s="74">
        <v>0</v>
      </c>
      <c r="H124" s="74">
        <v>0</v>
      </c>
      <c r="I124" s="74"/>
      <c r="J124" s="74">
        <v>0</v>
      </c>
      <c r="K124" s="74">
        <v>0</v>
      </c>
      <c r="L124" s="74">
        <v>0</v>
      </c>
      <c r="M124" s="74">
        <v>0</v>
      </c>
      <c r="N124" s="74">
        <v>0</v>
      </c>
    </row>
    <row r="125" spans="1:14" x14ac:dyDescent="0.25">
      <c r="A125" t="e">
        <f>VLOOKUP(VALUE(RIGHT(B125,4)),'Waste Lookups'!$B$1:$C$295,2,FALSE)</f>
        <v>#N/A</v>
      </c>
      <c r="B125" s="74" t="s">
        <v>1063</v>
      </c>
      <c r="C125" s="74" t="s">
        <v>1064</v>
      </c>
      <c r="D125" s="74">
        <v>0</v>
      </c>
      <c r="E125" s="74">
        <v>8.9881200000000003</v>
      </c>
      <c r="F125" s="74">
        <v>0</v>
      </c>
      <c r="G125" s="74">
        <v>0</v>
      </c>
      <c r="H125" s="74">
        <v>0</v>
      </c>
      <c r="I125" s="74"/>
      <c r="J125" s="74">
        <v>0</v>
      </c>
      <c r="K125" s="74">
        <v>21.240835000000001</v>
      </c>
      <c r="L125" s="74">
        <v>0</v>
      </c>
      <c r="M125" s="74">
        <v>0</v>
      </c>
      <c r="N125" s="74">
        <v>0</v>
      </c>
    </row>
    <row r="126" spans="1:14" x14ac:dyDescent="0.25">
      <c r="A126" t="e">
        <f>VLOOKUP(VALUE(RIGHT(B126,4)),'Waste Lookups'!$B$1:$C$295,2,FALSE)</f>
        <v>#N/A</v>
      </c>
      <c r="B126" s="74" t="s">
        <v>1065</v>
      </c>
      <c r="C126" s="74" t="s">
        <v>1066</v>
      </c>
      <c r="D126" s="74">
        <v>0</v>
      </c>
      <c r="E126" s="74">
        <v>13.808879999999998</v>
      </c>
      <c r="F126" s="74">
        <v>0</v>
      </c>
      <c r="G126" s="74">
        <v>0</v>
      </c>
      <c r="H126" s="74">
        <v>0</v>
      </c>
      <c r="I126" s="74"/>
      <c r="J126" s="74">
        <v>0</v>
      </c>
      <c r="K126" s="74">
        <v>13.53979</v>
      </c>
      <c r="L126" s="74">
        <v>0</v>
      </c>
      <c r="M126" s="74">
        <v>0</v>
      </c>
      <c r="N126" s="74">
        <v>0</v>
      </c>
    </row>
    <row r="127" spans="1:14" x14ac:dyDescent="0.25">
      <c r="A127" t="e">
        <f>VLOOKUP(VALUE(RIGHT(B127,4)),'Waste Lookups'!$B$1:$C$295,2,FALSE)</f>
        <v>#N/A</v>
      </c>
      <c r="B127" s="74" t="s">
        <v>1067</v>
      </c>
      <c r="C127" s="74" t="s">
        <v>1068</v>
      </c>
      <c r="D127" s="74">
        <v>0</v>
      </c>
      <c r="E127" s="74">
        <v>14.722800000000001</v>
      </c>
      <c r="F127" s="74">
        <v>0</v>
      </c>
      <c r="G127" s="74">
        <v>0</v>
      </c>
      <c r="H127" s="74">
        <v>0</v>
      </c>
      <c r="I127" s="74"/>
      <c r="J127" s="74">
        <v>0</v>
      </c>
      <c r="K127" s="74">
        <v>14.447399999999998</v>
      </c>
      <c r="L127" s="74">
        <v>0</v>
      </c>
      <c r="M127" s="74">
        <v>0</v>
      </c>
      <c r="N127" s="74">
        <v>0</v>
      </c>
    </row>
    <row r="128" spans="1:14" x14ac:dyDescent="0.25">
      <c r="A128" t="e">
        <f>VLOOKUP(VALUE(RIGHT(B128,4)),'Waste Lookups'!$B$1:$C$295,2,FALSE)</f>
        <v>#N/A</v>
      </c>
      <c r="B128" s="74" t="s">
        <v>1069</v>
      </c>
      <c r="C128" s="74" t="s">
        <v>1070</v>
      </c>
      <c r="D128" s="74">
        <v>0</v>
      </c>
      <c r="E128" s="74">
        <v>3.2741400000000005</v>
      </c>
      <c r="F128" s="74">
        <v>0</v>
      </c>
      <c r="G128" s="74">
        <v>0.70199999999999996</v>
      </c>
      <c r="H128" s="74">
        <v>0</v>
      </c>
      <c r="I128" s="74"/>
      <c r="J128" s="74">
        <v>0</v>
      </c>
      <c r="K128" s="74">
        <v>5.5232509133543912</v>
      </c>
      <c r="L128" s="74">
        <v>0</v>
      </c>
      <c r="M128" s="74">
        <v>1.1842261299684138</v>
      </c>
      <c r="N128" s="74">
        <v>0</v>
      </c>
    </row>
    <row r="129" spans="1:14" x14ac:dyDescent="0.25">
      <c r="A129" t="e">
        <f>VLOOKUP(VALUE(RIGHT(B129,4)),'Waste Lookups'!$B$1:$C$295,2,FALSE)</f>
        <v>#N/A</v>
      </c>
      <c r="B129" s="74" t="s">
        <v>1071</v>
      </c>
      <c r="C129" s="74" t="s">
        <v>1072</v>
      </c>
      <c r="D129" s="74">
        <v>0</v>
      </c>
      <c r="E129" s="74">
        <v>5.3791199999999995</v>
      </c>
      <c r="F129" s="74">
        <v>0</v>
      </c>
      <c r="G129" s="74">
        <v>0</v>
      </c>
      <c r="H129" s="74">
        <v>0</v>
      </c>
      <c r="I129" s="74"/>
      <c r="J129" s="74">
        <v>0</v>
      </c>
      <c r="K129" s="74">
        <v>4.8822399999999995</v>
      </c>
      <c r="L129" s="74">
        <v>0</v>
      </c>
      <c r="M129" s="74">
        <v>0</v>
      </c>
      <c r="N129" s="74">
        <v>0</v>
      </c>
    </row>
    <row r="130" spans="1:14" x14ac:dyDescent="0.25">
      <c r="A130" t="e">
        <f>VLOOKUP(VALUE(RIGHT(B130,4)),'Waste Lookups'!$B$1:$C$295,2,FALSE)</f>
        <v>#N/A</v>
      </c>
      <c r="B130" s="74" t="s">
        <v>1073</v>
      </c>
      <c r="C130" s="74" t="s">
        <v>1074</v>
      </c>
      <c r="D130" s="74">
        <v>0</v>
      </c>
      <c r="E130" s="74">
        <v>32.439779999999999</v>
      </c>
      <c r="F130" s="74">
        <v>0</v>
      </c>
      <c r="G130" s="74">
        <v>0</v>
      </c>
      <c r="H130" s="74">
        <v>0</v>
      </c>
      <c r="I130" s="74"/>
      <c r="J130" s="74">
        <v>0</v>
      </c>
      <c r="K130" s="74">
        <v>11.14564</v>
      </c>
      <c r="L130" s="74">
        <v>0</v>
      </c>
      <c r="M130" s="74">
        <v>0</v>
      </c>
      <c r="N130" s="74">
        <v>0</v>
      </c>
    </row>
    <row r="131" spans="1:14" x14ac:dyDescent="0.25">
      <c r="A131" t="e">
        <f>VLOOKUP(VALUE(RIGHT(B131,4)),'Waste Lookups'!$B$1:$C$295,2,FALSE)</f>
        <v>#N/A</v>
      </c>
      <c r="B131" s="74" t="s">
        <v>1075</v>
      </c>
      <c r="C131" s="74" t="s">
        <v>1076</v>
      </c>
      <c r="D131" s="74">
        <v>0</v>
      </c>
      <c r="E131" s="74">
        <v>11.58018</v>
      </c>
      <c r="F131" s="74">
        <v>0</v>
      </c>
      <c r="G131" s="74">
        <v>0</v>
      </c>
      <c r="H131" s="74">
        <v>0</v>
      </c>
      <c r="I131" s="74"/>
      <c r="J131" s="74">
        <v>0</v>
      </c>
      <c r="K131" s="74">
        <v>20.414185</v>
      </c>
      <c r="L131" s="74">
        <v>0</v>
      </c>
      <c r="M131" s="74">
        <v>0</v>
      </c>
      <c r="N131" s="74">
        <v>0</v>
      </c>
    </row>
    <row r="132" spans="1:14" x14ac:dyDescent="0.25">
      <c r="A132" t="e">
        <f>VLOOKUP(VALUE(RIGHT(B132,4)),'Waste Lookups'!$B$1:$C$295,2,FALSE)</f>
        <v>#N/A</v>
      </c>
      <c r="B132" s="74" t="s">
        <v>1077</v>
      </c>
      <c r="C132" s="74" t="s">
        <v>1078</v>
      </c>
      <c r="D132" s="74">
        <v>0</v>
      </c>
      <c r="E132" s="74">
        <v>12.92442</v>
      </c>
      <c r="F132" s="74">
        <v>0</v>
      </c>
      <c r="G132" s="74">
        <v>0</v>
      </c>
      <c r="H132" s="74">
        <v>0</v>
      </c>
      <c r="I132" s="74"/>
      <c r="J132" s="74">
        <v>0</v>
      </c>
      <c r="K132" s="74">
        <v>12.811204999999999</v>
      </c>
      <c r="L132" s="74">
        <v>0</v>
      </c>
      <c r="M132" s="74">
        <v>0</v>
      </c>
      <c r="N132" s="74">
        <v>0</v>
      </c>
    </row>
    <row r="133" spans="1:14" x14ac:dyDescent="0.25">
      <c r="A133" t="e">
        <f>VLOOKUP(VALUE(RIGHT(B133,4)),'Waste Lookups'!$B$1:$C$295,2,FALSE)</f>
        <v>#N/A</v>
      </c>
      <c r="B133" s="74" t="s">
        <v>1079</v>
      </c>
      <c r="C133" s="74" t="s">
        <v>1080</v>
      </c>
      <c r="D133" s="74">
        <v>0</v>
      </c>
      <c r="E133" s="74">
        <v>5.1325200000000004</v>
      </c>
      <c r="F133" s="74">
        <v>0</v>
      </c>
      <c r="G133" s="74">
        <v>0</v>
      </c>
      <c r="H133" s="74">
        <v>0</v>
      </c>
      <c r="I133" s="74"/>
      <c r="J133" s="74">
        <v>0</v>
      </c>
      <c r="K133" s="74">
        <v>0</v>
      </c>
      <c r="L133" s="74">
        <v>0</v>
      </c>
      <c r="M133" s="74">
        <v>0</v>
      </c>
      <c r="N133" s="74">
        <v>0</v>
      </c>
    </row>
    <row r="134" spans="1:14" x14ac:dyDescent="0.25">
      <c r="A134" t="e">
        <f>VLOOKUP(VALUE(RIGHT(B134,4)),'Waste Lookups'!$B$1:$C$295,2,FALSE)</f>
        <v>#N/A</v>
      </c>
      <c r="B134" s="74" t="s">
        <v>1081</v>
      </c>
      <c r="C134" s="74" t="s">
        <v>1082</v>
      </c>
      <c r="D134" s="74">
        <v>0</v>
      </c>
      <c r="E134" s="74">
        <v>10.66296</v>
      </c>
      <c r="F134" s="74">
        <v>0</v>
      </c>
      <c r="G134" s="74">
        <v>0</v>
      </c>
      <c r="H134" s="74">
        <v>0</v>
      </c>
      <c r="I134" s="74"/>
      <c r="J134" s="74">
        <v>0</v>
      </c>
      <c r="K134" s="74">
        <v>22.869384999999998</v>
      </c>
      <c r="L134" s="74">
        <v>0</v>
      </c>
      <c r="M134" s="74">
        <v>0</v>
      </c>
      <c r="N134" s="74">
        <v>0</v>
      </c>
    </row>
    <row r="135" spans="1:14" x14ac:dyDescent="0.25">
      <c r="A135" t="e">
        <f>VLOOKUP(VALUE(RIGHT(B135,4)),'Waste Lookups'!$B$1:$C$295,2,FALSE)</f>
        <v>#N/A</v>
      </c>
      <c r="B135" s="74" t="s">
        <v>1083</v>
      </c>
      <c r="C135" s="74" t="s">
        <v>1084</v>
      </c>
      <c r="D135" s="74">
        <v>0</v>
      </c>
      <c r="E135" s="74">
        <v>2.5505999999999998</v>
      </c>
      <c r="F135" s="74">
        <v>0</v>
      </c>
      <c r="G135" s="74">
        <v>2.95092</v>
      </c>
      <c r="H135" s="74">
        <v>0</v>
      </c>
      <c r="I135" s="74"/>
      <c r="J135" s="74">
        <v>0</v>
      </c>
      <c r="K135" s="74">
        <v>0.13482181598448831</v>
      </c>
      <c r="L135" s="74">
        <v>0</v>
      </c>
      <c r="M135" s="74">
        <v>0.15598227602326756</v>
      </c>
      <c r="N135" s="74">
        <v>0</v>
      </c>
    </row>
    <row r="136" spans="1:14" x14ac:dyDescent="0.25">
      <c r="A136" t="e">
        <f>VLOOKUP(VALUE(RIGHT(B136,4)),'Waste Lookups'!$B$1:$C$295,2,FALSE)</f>
        <v>#N/A</v>
      </c>
      <c r="B136" s="74" t="s">
        <v>1085</v>
      </c>
      <c r="C136" s="74" t="s">
        <v>1086</v>
      </c>
      <c r="D136" s="74">
        <v>32.878727272727275</v>
      </c>
      <c r="E136" s="74">
        <v>12.115200000000002</v>
      </c>
      <c r="F136" s="74">
        <v>0</v>
      </c>
      <c r="G136" s="74">
        <v>6.7641300000000006</v>
      </c>
      <c r="H136" s="74">
        <v>0</v>
      </c>
      <c r="I136" s="74"/>
      <c r="J136" s="74">
        <v>17.16705910969171</v>
      </c>
      <c r="K136" s="74">
        <v>6.3257422588330297</v>
      </c>
      <c r="L136" s="74">
        <v>0</v>
      </c>
      <c r="M136" s="74">
        <v>3.5317735559660814</v>
      </c>
      <c r="N136" s="74">
        <v>0</v>
      </c>
    </row>
    <row r="137" spans="1:14" x14ac:dyDescent="0.25">
      <c r="A137" t="e">
        <f>VLOOKUP(VALUE(RIGHT(B137,4)),'Waste Lookups'!$B$1:$C$295,2,FALSE)</f>
        <v>#N/A</v>
      </c>
      <c r="B137" s="74" t="s">
        <v>1087</v>
      </c>
      <c r="C137" s="74" t="s">
        <v>1088</v>
      </c>
      <c r="D137" s="74">
        <v>0</v>
      </c>
      <c r="E137" s="74">
        <v>7.6009799999999998</v>
      </c>
      <c r="F137" s="74">
        <v>0</v>
      </c>
      <c r="G137" s="74">
        <v>0</v>
      </c>
      <c r="H137" s="74">
        <v>0</v>
      </c>
      <c r="I137" s="74"/>
      <c r="J137" s="74">
        <v>0</v>
      </c>
      <c r="K137" s="74">
        <v>8.739609999999999</v>
      </c>
      <c r="L137" s="74">
        <v>0</v>
      </c>
      <c r="M137" s="74">
        <v>0</v>
      </c>
      <c r="N137" s="74">
        <v>0</v>
      </c>
    </row>
    <row r="138" spans="1:14" x14ac:dyDescent="0.25">
      <c r="A138" t="e">
        <f>VLOOKUP(VALUE(RIGHT(B138,4)),'Waste Lookups'!$B$1:$C$295,2,FALSE)</f>
        <v>#N/A</v>
      </c>
      <c r="B138" s="74" t="s">
        <v>1089</v>
      </c>
      <c r="C138" s="74" t="s">
        <v>1090</v>
      </c>
      <c r="D138" s="74">
        <v>0</v>
      </c>
      <c r="E138" s="74">
        <v>12.79932</v>
      </c>
      <c r="F138" s="74">
        <v>0</v>
      </c>
      <c r="G138" s="74">
        <v>0</v>
      </c>
      <c r="H138" s="74">
        <v>0</v>
      </c>
      <c r="I138" s="74"/>
      <c r="J138" s="74">
        <v>0</v>
      </c>
      <c r="K138" s="74">
        <v>22.255860000000002</v>
      </c>
      <c r="L138" s="74">
        <v>0</v>
      </c>
      <c r="M138" s="74">
        <v>0</v>
      </c>
      <c r="N138" s="74">
        <v>0</v>
      </c>
    </row>
    <row r="139" spans="1:14" x14ac:dyDescent="0.25">
      <c r="A139" t="e">
        <f>VLOOKUP(VALUE(RIGHT(B139,4)),'Waste Lookups'!$B$1:$C$295,2,FALSE)</f>
        <v>#N/A</v>
      </c>
      <c r="B139" s="74" t="s">
        <v>1091</v>
      </c>
      <c r="C139" s="74" t="s">
        <v>1092</v>
      </c>
      <c r="D139" s="74">
        <v>0</v>
      </c>
      <c r="E139" s="74">
        <v>4.7098199999999997</v>
      </c>
      <c r="F139" s="74">
        <v>0</v>
      </c>
      <c r="G139" s="74">
        <v>3.5559900000000004</v>
      </c>
      <c r="H139" s="74">
        <v>0</v>
      </c>
      <c r="I139" s="74"/>
      <c r="J139" s="74">
        <v>0</v>
      </c>
      <c r="K139" s="74">
        <v>1.7483289690529455</v>
      </c>
      <c r="L139" s="74">
        <v>0</v>
      </c>
      <c r="M139" s="74">
        <v>1.3200165464205817</v>
      </c>
      <c r="N139" s="74">
        <v>0</v>
      </c>
    </row>
    <row r="140" spans="1:14" x14ac:dyDescent="0.25">
      <c r="A140" t="e">
        <f>VLOOKUP(VALUE(RIGHT(B140,4)),'Waste Lookups'!$B$1:$C$295,2,FALSE)</f>
        <v>#N/A</v>
      </c>
      <c r="B140" s="74" t="s">
        <v>1093</v>
      </c>
      <c r="C140" s="74" t="s">
        <v>1094</v>
      </c>
      <c r="D140" s="74">
        <v>0</v>
      </c>
      <c r="E140" s="74">
        <v>89.579819999999998</v>
      </c>
      <c r="F140" s="74">
        <v>0</v>
      </c>
      <c r="G140" s="74">
        <v>0</v>
      </c>
      <c r="H140" s="74">
        <v>0</v>
      </c>
      <c r="I140" s="74"/>
      <c r="J140" s="74">
        <v>0</v>
      </c>
      <c r="K140" s="74">
        <v>53.247480000000003</v>
      </c>
      <c r="L140" s="74">
        <v>0</v>
      </c>
      <c r="M140" s="74">
        <v>0</v>
      </c>
      <c r="N140" s="74">
        <v>0</v>
      </c>
    </row>
    <row r="141" spans="1:14" x14ac:dyDescent="0.25">
      <c r="A141" t="e">
        <f>VLOOKUP(VALUE(RIGHT(B141,4)),'Waste Lookups'!$B$1:$C$295,2,FALSE)</f>
        <v>#N/A</v>
      </c>
      <c r="B141" s="74" t="s">
        <v>1095</v>
      </c>
      <c r="C141" s="74" t="s">
        <v>1096</v>
      </c>
      <c r="D141" s="74">
        <v>0</v>
      </c>
      <c r="E141" s="74">
        <v>3.6724800000000002</v>
      </c>
      <c r="F141" s="74">
        <v>0</v>
      </c>
      <c r="G141" s="74">
        <v>0</v>
      </c>
      <c r="H141" s="74">
        <v>0</v>
      </c>
      <c r="I141" s="74"/>
      <c r="J141" s="74">
        <v>0</v>
      </c>
      <c r="K141" s="74">
        <v>3.3378399999999995</v>
      </c>
      <c r="L141" s="74">
        <v>0</v>
      </c>
      <c r="M141" s="74">
        <v>0</v>
      </c>
      <c r="N141" s="74">
        <v>0</v>
      </c>
    </row>
    <row r="142" spans="1:14" x14ac:dyDescent="0.25">
      <c r="A142" t="e">
        <f>VLOOKUP(VALUE(RIGHT(B142,4)),'Waste Lookups'!$B$1:$C$295,2,FALSE)</f>
        <v>#N/A</v>
      </c>
      <c r="B142" s="74" t="s">
        <v>1097</v>
      </c>
      <c r="C142" s="74" t="s">
        <v>1098</v>
      </c>
      <c r="D142" s="74">
        <v>0</v>
      </c>
      <c r="E142" s="74">
        <v>2.0835599999999999</v>
      </c>
      <c r="F142" s="74">
        <v>0</v>
      </c>
      <c r="G142" s="74">
        <v>0</v>
      </c>
      <c r="H142" s="74">
        <v>0</v>
      </c>
      <c r="I142" s="74"/>
      <c r="J142" s="74">
        <v>0</v>
      </c>
      <c r="K142" s="74">
        <v>3.7168999999999994</v>
      </c>
      <c r="L142" s="74">
        <v>0</v>
      </c>
      <c r="M142" s="74">
        <v>0</v>
      </c>
      <c r="N142" s="74">
        <v>0</v>
      </c>
    </row>
    <row r="143" spans="1:14" x14ac:dyDescent="0.25">
      <c r="A143" t="e">
        <f>VLOOKUP(VALUE(RIGHT(B143,4)),'Waste Lookups'!$B$1:$C$295,2,FALSE)</f>
        <v>#N/A</v>
      </c>
      <c r="B143" s="74" t="s">
        <v>1099</v>
      </c>
      <c r="C143" s="74" t="s">
        <v>1100</v>
      </c>
      <c r="D143" s="74">
        <v>0</v>
      </c>
      <c r="E143" s="74">
        <v>2.6257199999999998</v>
      </c>
      <c r="F143" s="74">
        <v>0</v>
      </c>
      <c r="G143" s="74">
        <v>0</v>
      </c>
      <c r="H143" s="74">
        <v>0</v>
      </c>
      <c r="I143" s="74"/>
      <c r="J143" s="74">
        <v>0</v>
      </c>
      <c r="K143" s="74">
        <v>-0.45182500000000003</v>
      </c>
      <c r="L143" s="74">
        <v>0</v>
      </c>
      <c r="M143" s="74">
        <v>0</v>
      </c>
      <c r="N143" s="74">
        <v>0</v>
      </c>
    </row>
    <row r="144" spans="1:14" x14ac:dyDescent="0.25">
      <c r="A144" t="e">
        <f>VLOOKUP(VALUE(RIGHT(B144,4)),'Waste Lookups'!$B$1:$C$295,2,FALSE)</f>
        <v>#N/A</v>
      </c>
      <c r="B144" s="74" t="s">
        <v>1101</v>
      </c>
      <c r="C144" s="74" t="s">
        <v>1102</v>
      </c>
      <c r="D144" s="74">
        <v>0</v>
      </c>
      <c r="E144" s="74">
        <v>8.7902999999999984</v>
      </c>
      <c r="F144" s="74">
        <v>0</v>
      </c>
      <c r="G144" s="74">
        <v>0</v>
      </c>
      <c r="H144" s="74">
        <v>0</v>
      </c>
      <c r="I144" s="74"/>
      <c r="J144" s="74">
        <v>0</v>
      </c>
      <c r="K144" s="74">
        <v>7.0379099999999992</v>
      </c>
      <c r="L144" s="74">
        <v>0</v>
      </c>
      <c r="M144" s="74">
        <v>0</v>
      </c>
      <c r="N144" s="74">
        <v>0</v>
      </c>
    </row>
    <row r="145" spans="1:14" x14ac:dyDescent="0.25">
      <c r="A145" t="e">
        <f>VLOOKUP(VALUE(RIGHT(B145,4)),'Waste Lookups'!$B$1:$C$295,2,FALSE)</f>
        <v>#N/A</v>
      </c>
      <c r="B145" s="74" t="s">
        <v>1103</v>
      </c>
      <c r="C145" s="74" t="s">
        <v>1104</v>
      </c>
      <c r="D145" s="74">
        <v>0</v>
      </c>
      <c r="E145" s="74">
        <v>3.3119999999999994</v>
      </c>
      <c r="F145" s="74">
        <v>0</v>
      </c>
      <c r="G145" s="74">
        <v>0</v>
      </c>
      <c r="H145" s="74">
        <v>0</v>
      </c>
      <c r="I145" s="74"/>
      <c r="J145" s="74">
        <v>0</v>
      </c>
      <c r="K145" s="74">
        <v>3.6670700000000003</v>
      </c>
      <c r="L145" s="74">
        <v>0</v>
      </c>
      <c r="M145" s="74">
        <v>0</v>
      </c>
      <c r="N145" s="74">
        <v>0</v>
      </c>
    </row>
    <row r="146" spans="1:14" x14ac:dyDescent="0.25">
      <c r="A146" t="e">
        <f>VLOOKUP(VALUE(RIGHT(B146,4)),'Waste Lookups'!$B$1:$C$295,2,FALSE)</f>
        <v>#N/A</v>
      </c>
      <c r="B146" s="74" t="s">
        <v>1105</v>
      </c>
      <c r="C146" s="74" t="s">
        <v>1106</v>
      </c>
      <c r="D146" s="74">
        <v>2.6735757575757577</v>
      </c>
      <c r="E146" s="74">
        <v>4.5137999999999998</v>
      </c>
      <c r="F146" s="74">
        <v>0</v>
      </c>
      <c r="G146" s="74">
        <v>1.9918799999999999</v>
      </c>
      <c r="H146" s="74">
        <v>1.2377203707355553</v>
      </c>
      <c r="I146" s="74"/>
      <c r="J146" s="74">
        <v>4.3866294872795182</v>
      </c>
      <c r="K146" s="74">
        <v>7.4059499243949256</v>
      </c>
      <c r="L146" s="74">
        <v>0</v>
      </c>
      <c r="M146" s="74">
        <v>3.2681473559758438</v>
      </c>
      <c r="N146" s="74">
        <v>2.0307712096395596</v>
      </c>
    </row>
    <row r="147" spans="1:14" x14ac:dyDescent="0.25">
      <c r="A147" t="e">
        <f>VLOOKUP(VALUE(RIGHT(B147,4)),'Waste Lookups'!$B$1:$C$295,2,FALSE)</f>
        <v>#N/A</v>
      </c>
      <c r="B147" s="74" t="s">
        <v>1107</v>
      </c>
      <c r="C147" s="74" t="s">
        <v>1108</v>
      </c>
      <c r="D147" s="74">
        <v>4.8925454545454548</v>
      </c>
      <c r="E147" s="74">
        <v>24.331919999999997</v>
      </c>
      <c r="F147" s="74">
        <v>0</v>
      </c>
      <c r="G147" s="74">
        <v>16.544340000000002</v>
      </c>
      <c r="H147" s="74">
        <v>5.6317602050877538</v>
      </c>
      <c r="I147" s="74"/>
      <c r="J147" s="74">
        <v>6.2944050097574209</v>
      </c>
      <c r="K147" s="74">
        <v>31.303737608145678</v>
      </c>
      <c r="L147" s="74">
        <v>0</v>
      </c>
      <c r="M147" s="74">
        <v>21.284784688588033</v>
      </c>
      <c r="N147" s="74">
        <v>7.2454267370624166</v>
      </c>
    </row>
    <row r="148" spans="1:14" x14ac:dyDescent="0.25">
      <c r="A148" t="e">
        <f>VLOOKUP(VALUE(RIGHT(B148,4)),'Waste Lookups'!$B$1:$C$295,2,FALSE)</f>
        <v>#N/A</v>
      </c>
      <c r="B148" s="74" t="s">
        <v>1109</v>
      </c>
      <c r="C148" s="74" t="s">
        <v>1110</v>
      </c>
      <c r="D148" s="74">
        <v>0</v>
      </c>
      <c r="E148" s="74">
        <v>5.4665400000000002</v>
      </c>
      <c r="F148" s="74">
        <v>0</v>
      </c>
      <c r="G148" s="74">
        <v>1.90818</v>
      </c>
      <c r="H148" s="74">
        <v>1.5968448037862353</v>
      </c>
      <c r="I148" s="74"/>
      <c r="J148" s="74">
        <v>0</v>
      </c>
      <c r="K148" s="74">
        <v>5.6191891985100462</v>
      </c>
      <c r="L148" s="74">
        <v>0</v>
      </c>
      <c r="M148" s="74">
        <v>1.9614645543273994</v>
      </c>
      <c r="N148" s="74">
        <v>1.6414355466405641</v>
      </c>
    </row>
    <row r="149" spans="1:14" x14ac:dyDescent="0.25">
      <c r="A149" t="e">
        <f>VLOOKUP(VALUE(RIGHT(B149,4)),'Waste Lookups'!$B$1:$C$295,2,FALSE)</f>
        <v>#N/A</v>
      </c>
      <c r="B149" s="74" t="s">
        <v>1111</v>
      </c>
      <c r="C149" s="74" t="s">
        <v>1112</v>
      </c>
      <c r="D149" s="74">
        <v>4.7325454545454537</v>
      </c>
      <c r="E149" s="74">
        <v>15.057359999999999</v>
      </c>
      <c r="F149" s="74">
        <v>0</v>
      </c>
      <c r="G149" s="74">
        <v>8.0396999999999998</v>
      </c>
      <c r="H149" s="74">
        <v>5.4597515282981659</v>
      </c>
      <c r="I149" s="74"/>
      <c r="J149" s="74">
        <v>5.1799344351084304</v>
      </c>
      <c r="K149" s="74">
        <v>16.480800515272712</v>
      </c>
      <c r="L149" s="74">
        <v>0</v>
      </c>
      <c r="M149" s="74">
        <v>8.7997292953504473</v>
      </c>
      <c r="N149" s="74">
        <v>5.9758865963779444</v>
      </c>
    </row>
    <row r="150" spans="1:14" x14ac:dyDescent="0.25">
      <c r="A150" t="e">
        <f>VLOOKUP(VALUE(RIGHT(B150,4)),'Waste Lookups'!$B$1:$C$295,2,FALSE)</f>
        <v>#N/A</v>
      </c>
      <c r="B150" s="74" t="s">
        <v>1113</v>
      </c>
      <c r="C150" s="74" t="s">
        <v>1114</v>
      </c>
      <c r="D150" s="74">
        <v>0.66963636363636359</v>
      </c>
      <c r="E150" s="74">
        <v>0</v>
      </c>
      <c r="F150" s="74">
        <v>0</v>
      </c>
      <c r="G150" s="74">
        <v>0</v>
      </c>
      <c r="H150" s="74">
        <v>0</v>
      </c>
      <c r="I150" s="74"/>
      <c r="J150" s="74">
        <v>1.51675</v>
      </c>
      <c r="K150" s="74">
        <v>0</v>
      </c>
      <c r="L150" s="74">
        <v>0</v>
      </c>
      <c r="M150" s="74">
        <v>0</v>
      </c>
      <c r="N150" s="74">
        <v>0</v>
      </c>
    </row>
    <row r="151" spans="1:14" x14ac:dyDescent="0.25">
      <c r="A151" t="e">
        <f>VLOOKUP(VALUE(RIGHT(B151,4)),'Waste Lookups'!$B$1:$C$295,2,FALSE)</f>
        <v>#N/A</v>
      </c>
      <c r="B151" s="74" t="s">
        <v>1115</v>
      </c>
      <c r="C151" s="74" t="s">
        <v>1116</v>
      </c>
      <c r="D151" s="74">
        <v>0</v>
      </c>
      <c r="E151" s="74">
        <v>4.3450800000000003</v>
      </c>
      <c r="F151" s="74">
        <v>0</v>
      </c>
      <c r="G151" s="74">
        <v>4.1450399999999989</v>
      </c>
      <c r="H151" s="74">
        <v>4.6381384342338794E-2</v>
      </c>
      <c r="I151" s="74"/>
      <c r="J151" s="74">
        <v>0</v>
      </c>
      <c r="K151" s="74">
        <v>12.112856289113481</v>
      </c>
      <c r="L151" s="74">
        <v>0</v>
      </c>
      <c r="M151" s="74">
        <v>11.555201246611555</v>
      </c>
      <c r="N151" s="74">
        <v>0.12929820464269656</v>
      </c>
    </row>
    <row r="152" spans="1:14" x14ac:dyDescent="0.25">
      <c r="A152" t="e">
        <f>VLOOKUP(VALUE(RIGHT(B152,4)),'Waste Lookups'!$B$1:$C$295,2,FALSE)</f>
        <v>#N/A</v>
      </c>
      <c r="B152" s="74" t="s">
        <v>1117</v>
      </c>
      <c r="C152" s="74" t="s">
        <v>1118</v>
      </c>
      <c r="D152" s="74">
        <v>5.2057878787878789</v>
      </c>
      <c r="E152" s="74">
        <v>4.4296799999999994</v>
      </c>
      <c r="F152" s="74">
        <v>0</v>
      </c>
      <c r="G152" s="74">
        <v>3.9403800000000002</v>
      </c>
      <c r="H152" s="74">
        <v>2.6503648195622162E-2</v>
      </c>
      <c r="I152" s="74"/>
      <c r="J152" s="74">
        <v>8.6577099833755362</v>
      </c>
      <c r="K152" s="74">
        <v>7.3669703130678847</v>
      </c>
      <c r="L152" s="74">
        <v>0</v>
      </c>
      <c r="M152" s="74">
        <v>6.5532188515212013</v>
      </c>
      <c r="N152" s="74">
        <v>4.4078034856952136E-2</v>
      </c>
    </row>
    <row r="153" spans="1:14" x14ac:dyDescent="0.25">
      <c r="A153" t="str">
        <f>VLOOKUP(VALUE(RIGHT(B153,4)),'Waste Lookups'!$B$1:$C$295,2,FALSE)</f>
        <v>Monkton Hall</v>
      </c>
      <c r="B153" s="74" t="s">
        <v>763</v>
      </c>
      <c r="C153" s="74" t="s">
        <v>1119</v>
      </c>
      <c r="D153" s="74">
        <v>4.3174242424242433</v>
      </c>
      <c r="E153" s="74">
        <v>12.38682</v>
      </c>
      <c r="F153" s="74">
        <v>0</v>
      </c>
      <c r="G153" s="74">
        <v>8.0343</v>
      </c>
      <c r="H153" s="74">
        <v>6.1666038256754092</v>
      </c>
      <c r="I153" s="74"/>
      <c r="J153" s="74">
        <v>4.2875825457592924</v>
      </c>
      <c r="K153" s="74">
        <v>12.301203274765747</v>
      </c>
      <c r="L153" s="74">
        <v>0</v>
      </c>
      <c r="M153" s="74">
        <v>7.9787675505456965</v>
      </c>
      <c r="N153" s="74">
        <v>6.1239807452260822</v>
      </c>
    </row>
    <row r="154" spans="1:14" x14ac:dyDescent="0.25">
      <c r="A154" t="e">
        <f>VLOOKUP(VALUE(RIGHT(B154,4)),'Waste Lookups'!$B$1:$C$295,2,FALSE)</f>
        <v>#N/A</v>
      </c>
      <c r="B154" s="74" t="s">
        <v>1120</v>
      </c>
      <c r="C154" s="74" t="s">
        <v>1121</v>
      </c>
      <c r="D154" s="74">
        <v>0</v>
      </c>
      <c r="E154" s="74">
        <v>0.32400000000000001</v>
      </c>
      <c r="F154" s="74">
        <v>0</v>
      </c>
      <c r="G154" s="74">
        <v>0</v>
      </c>
      <c r="H154" s="74">
        <v>2.857888384933938</v>
      </c>
      <c r="I154" s="74"/>
      <c r="J154" s="74">
        <v>0</v>
      </c>
      <c r="K154" s="74">
        <v>0.46880732688521776</v>
      </c>
      <c r="L154" s="74">
        <v>0</v>
      </c>
      <c r="M154" s="74">
        <v>0</v>
      </c>
      <c r="N154" s="74">
        <v>4.1351821428308391</v>
      </c>
    </row>
    <row r="155" spans="1:14" x14ac:dyDescent="0.25">
      <c r="A155" t="e">
        <f>VLOOKUP(VALUE(RIGHT(B155,4)),'Waste Lookups'!$B$1:$C$295,2,FALSE)</f>
        <v>#N/A</v>
      </c>
      <c r="B155" s="74" t="s">
        <v>1122</v>
      </c>
      <c r="C155" s="74" t="s">
        <v>1123</v>
      </c>
      <c r="D155" s="74">
        <v>7.2190606060606068</v>
      </c>
      <c r="E155" s="74">
        <v>8.3657400000000006</v>
      </c>
      <c r="F155" s="74">
        <v>0</v>
      </c>
      <c r="G155" s="74">
        <v>8.0396999999999998</v>
      </c>
      <c r="H155" s="74">
        <v>3.4028033918359295</v>
      </c>
      <c r="I155" s="74"/>
      <c r="J155" s="74">
        <v>7.4507291165512504</v>
      </c>
      <c r="K155" s="74">
        <v>8.6342068588770307</v>
      </c>
      <c r="L155" s="74">
        <v>0</v>
      </c>
      <c r="M155" s="74">
        <v>8.297703835322837</v>
      </c>
      <c r="N155" s="74">
        <v>3.512003526908535</v>
      </c>
    </row>
    <row r="156" spans="1:14" x14ac:dyDescent="0.25">
      <c r="A156" t="e">
        <f>VLOOKUP(VALUE(RIGHT(B156,4)),'Waste Lookups'!$B$1:$C$295,2,FALSE)</f>
        <v>#N/A</v>
      </c>
      <c r="B156" s="74" t="s">
        <v>1124</v>
      </c>
      <c r="C156" s="74" t="s">
        <v>1125</v>
      </c>
      <c r="D156" s="74">
        <v>0</v>
      </c>
      <c r="E156" s="74">
        <v>11.83836</v>
      </c>
      <c r="F156" s="74">
        <v>0</v>
      </c>
      <c r="G156" s="74">
        <v>4.1031899999999997</v>
      </c>
      <c r="H156" s="74">
        <v>2.9686736343916387</v>
      </c>
      <c r="I156" s="74"/>
      <c r="J156" s="74">
        <v>0</v>
      </c>
      <c r="K156" s="74">
        <v>-2.5910811849288784</v>
      </c>
      <c r="L156" s="74">
        <v>0</v>
      </c>
      <c r="M156" s="74">
        <v>-0.89807189570078338</v>
      </c>
      <c r="N156" s="74">
        <v>-0.64975844612485234</v>
      </c>
    </row>
    <row r="157" spans="1:14" x14ac:dyDescent="0.25">
      <c r="A157" t="e">
        <f>VLOOKUP(VALUE(RIGHT(B157,4)),'Waste Lookups'!$B$1:$C$295,2,FALSE)</f>
        <v>#N/A</v>
      </c>
      <c r="B157" s="74" t="s">
        <v>1126</v>
      </c>
      <c r="C157" s="74" t="s">
        <v>1127</v>
      </c>
      <c r="D157" s="74">
        <v>0</v>
      </c>
      <c r="E157" s="74">
        <v>3.7257000000000002</v>
      </c>
      <c r="F157" s="74">
        <v>0</v>
      </c>
      <c r="G157" s="74">
        <v>1.8608399999999998</v>
      </c>
      <c r="H157" s="74">
        <v>1.3251824097811081E-2</v>
      </c>
      <c r="I157" s="74"/>
      <c r="J157" s="74">
        <v>0</v>
      </c>
      <c r="K157" s="74">
        <v>3.9324977058781045</v>
      </c>
      <c r="L157" s="74">
        <v>0</v>
      </c>
      <c r="M157" s="74">
        <v>1.9641272864176427</v>
      </c>
      <c r="N157" s="74">
        <v>1.3987376295284713E-2</v>
      </c>
    </row>
    <row r="158" spans="1:14" x14ac:dyDescent="0.25">
      <c r="A158" t="e">
        <f>VLOOKUP(VALUE(RIGHT(B158,4)),'Waste Lookups'!$B$1:$C$295,2,FALSE)</f>
        <v>#N/A</v>
      </c>
      <c r="B158" s="74" t="s">
        <v>1128</v>
      </c>
      <c r="C158" s="74" t="s">
        <v>1129</v>
      </c>
      <c r="D158" s="74">
        <v>0</v>
      </c>
      <c r="E158" s="74">
        <v>0.32400000000000001</v>
      </c>
      <c r="F158" s="74">
        <v>0</v>
      </c>
      <c r="G158" s="74">
        <v>0</v>
      </c>
      <c r="H158" s="74">
        <v>6.2845450601459278</v>
      </c>
      <c r="I158" s="74"/>
      <c r="J158" s="74">
        <v>0</v>
      </c>
      <c r="K158" s="74">
        <v>0.36057045343734756</v>
      </c>
      <c r="L158" s="74">
        <v>0</v>
      </c>
      <c r="M158" s="74">
        <v>0</v>
      </c>
      <c r="N158" s="74">
        <v>6.9938927839020373</v>
      </c>
    </row>
    <row r="159" spans="1:14" x14ac:dyDescent="0.25">
      <c r="A159" t="e">
        <f>VLOOKUP(VALUE(RIGHT(B159,4)),'Waste Lookups'!$B$1:$C$295,2,FALSE)</f>
        <v>#N/A</v>
      </c>
      <c r="B159" s="74" t="s">
        <v>1130</v>
      </c>
      <c r="C159" s="74" t="s">
        <v>1131</v>
      </c>
      <c r="D159" s="74">
        <v>0</v>
      </c>
      <c r="E159" s="74">
        <v>0</v>
      </c>
      <c r="F159" s="74">
        <v>0</v>
      </c>
      <c r="G159" s="74">
        <v>0</v>
      </c>
      <c r="H159" s="74">
        <v>2.6503648195622162E-2</v>
      </c>
      <c r="I159" s="74"/>
      <c r="J159" s="74">
        <v>0</v>
      </c>
      <c r="K159" s="74">
        <v>0</v>
      </c>
      <c r="L159" s="74">
        <v>0</v>
      </c>
      <c r="M159" s="74">
        <v>0</v>
      </c>
      <c r="N159" s="74">
        <v>0.51181489515545919</v>
      </c>
    </row>
    <row r="160" spans="1:14" x14ac:dyDescent="0.25">
      <c r="A160" t="e">
        <f>VLOOKUP(VALUE(RIGHT(B160,4)),'Waste Lookups'!$B$1:$C$295,2,FALSE)</f>
        <v>#N/A</v>
      </c>
      <c r="B160" s="74" t="s">
        <v>1132</v>
      </c>
      <c r="C160" s="74" t="s">
        <v>1133</v>
      </c>
      <c r="D160" s="74">
        <v>0</v>
      </c>
      <c r="E160" s="74">
        <v>23.508719999999997</v>
      </c>
      <c r="F160" s="74">
        <v>0</v>
      </c>
      <c r="G160" s="74">
        <v>14.532299999999999</v>
      </c>
      <c r="H160" s="74">
        <v>4.3036623940051264</v>
      </c>
      <c r="I160" s="74"/>
      <c r="J160" s="74">
        <v>0</v>
      </c>
      <c r="K160" s="74">
        <v>22.163585707427266</v>
      </c>
      <c r="L160" s="74">
        <v>0</v>
      </c>
      <c r="M160" s="74">
        <v>13.700783223248449</v>
      </c>
      <c r="N160" s="74">
        <v>4.0574131779766933</v>
      </c>
    </row>
    <row r="161" spans="1:14" x14ac:dyDescent="0.25">
      <c r="A161" t="e">
        <f>VLOOKUP(VALUE(RIGHT(B161,4)),'Waste Lookups'!$B$1:$C$295,2,FALSE)</f>
        <v>#N/A</v>
      </c>
      <c r="B161" s="74" t="s">
        <v>1134</v>
      </c>
      <c r="C161" s="74" t="s">
        <v>1135</v>
      </c>
      <c r="D161" s="74">
        <v>8.5100909090909092</v>
      </c>
      <c r="E161" s="74">
        <v>14.936160000000001</v>
      </c>
      <c r="F161" s="74">
        <v>0</v>
      </c>
      <c r="G161" s="74">
        <v>19.345770000000002</v>
      </c>
      <c r="H161" s="74">
        <v>3.1641822125813452</v>
      </c>
      <c r="I161" s="74"/>
      <c r="J161" s="74">
        <v>6.9355241835445565</v>
      </c>
      <c r="K161" s="74">
        <v>12.172619540248469</v>
      </c>
      <c r="L161" s="74">
        <v>0</v>
      </c>
      <c r="M161" s="74">
        <v>15.766348105748243</v>
      </c>
      <c r="N161" s="74">
        <v>2.578734174632189</v>
      </c>
    </row>
    <row r="162" spans="1:14" x14ac:dyDescent="0.25">
      <c r="A162" t="e">
        <f>VLOOKUP(VALUE(RIGHT(B162,4)),'Waste Lookups'!$B$1:$C$295,2,FALSE)</f>
        <v>#N/A</v>
      </c>
      <c r="B162" s="74" t="s">
        <v>1136</v>
      </c>
      <c r="C162" s="74" t="s">
        <v>1137</v>
      </c>
      <c r="D162" s="74">
        <v>0</v>
      </c>
      <c r="E162" s="74">
        <v>0.32400000000000001</v>
      </c>
      <c r="F162" s="74">
        <v>0</v>
      </c>
      <c r="G162" s="74">
        <v>0</v>
      </c>
      <c r="H162" s="74">
        <v>2.6477144547426543</v>
      </c>
      <c r="I162" s="74"/>
      <c r="J162" s="74">
        <v>0</v>
      </c>
      <c r="K162" s="74">
        <v>0.29454545454545455</v>
      </c>
      <c r="L162" s="74">
        <v>0</v>
      </c>
      <c r="M162" s="74">
        <v>0</v>
      </c>
      <c r="N162" s="74">
        <v>2.4070131406751401</v>
      </c>
    </row>
    <row r="163" spans="1:14" x14ac:dyDescent="0.25">
      <c r="A163" t="str">
        <f>VLOOKUP(VALUE(RIGHT(B163,4)),'Waste Lookups'!$B$1:$C$295,2,FALSE)</f>
        <v>The Old Telephone Exchange</v>
      </c>
      <c r="B163" s="74" t="s">
        <v>663</v>
      </c>
      <c r="C163" s="74" t="s">
        <v>1138</v>
      </c>
      <c r="D163" s="74">
        <v>0</v>
      </c>
      <c r="E163" s="74">
        <v>19.94652</v>
      </c>
      <c r="F163" s="74">
        <v>0</v>
      </c>
      <c r="G163" s="74">
        <v>3.6027</v>
      </c>
      <c r="H163" s="74">
        <v>0.12721751133898637</v>
      </c>
      <c r="I163" s="74"/>
      <c r="J163" s="74">
        <v>0</v>
      </c>
      <c r="K163" s="74">
        <v>13.721854601041153</v>
      </c>
      <c r="L163" s="74">
        <v>0</v>
      </c>
      <c r="M163" s="74">
        <v>2.4784135564083845</v>
      </c>
      <c r="N163" s="74">
        <v>8.7517030203758617E-2</v>
      </c>
    </row>
    <row r="164" spans="1:14" x14ac:dyDescent="0.25">
      <c r="A164" t="e">
        <f>VLOOKUP(VALUE(RIGHT(B164,4)),'Waste Lookups'!$B$1:$C$295,2,FALSE)</f>
        <v>#N/A</v>
      </c>
      <c r="B164" s="74" t="s">
        <v>1139</v>
      </c>
      <c r="C164" s="74" t="s">
        <v>1140</v>
      </c>
      <c r="D164" s="74">
        <v>0</v>
      </c>
      <c r="E164" s="74">
        <v>9.4930199999999996</v>
      </c>
      <c r="F164" s="74">
        <v>0</v>
      </c>
      <c r="G164" s="74">
        <v>4.2849899999999996</v>
      </c>
      <c r="H164" s="74">
        <v>2.6636166436600277</v>
      </c>
      <c r="I164" s="74"/>
      <c r="J164" s="74">
        <v>0</v>
      </c>
      <c r="K164" s="74">
        <v>11.445192149792577</v>
      </c>
      <c r="L164" s="74">
        <v>0</v>
      </c>
      <c r="M164" s="74">
        <v>5.166167764308903</v>
      </c>
      <c r="N164" s="74">
        <v>3.2113704911687337</v>
      </c>
    </row>
    <row r="165" spans="1:14" x14ac:dyDescent="0.25">
      <c r="A165" t="e">
        <f>VLOOKUP(VALUE(RIGHT(B165,4)),'Waste Lookups'!$B$1:$C$295,2,FALSE)</f>
        <v>#N/A</v>
      </c>
      <c r="B165" s="74" t="s">
        <v>1141</v>
      </c>
      <c r="C165" s="74" t="s">
        <v>1142</v>
      </c>
      <c r="D165" s="74">
        <v>12.619363636363635</v>
      </c>
      <c r="E165" s="74">
        <v>23.40756</v>
      </c>
      <c r="F165" s="74">
        <v>0</v>
      </c>
      <c r="G165" s="74">
        <v>25.252290000000002</v>
      </c>
      <c r="H165" s="74">
        <v>3.5541392230329323</v>
      </c>
      <c r="I165" s="74"/>
      <c r="J165" s="74">
        <v>8.699693896100225</v>
      </c>
      <c r="K165" s="74">
        <v>16.1369949169069</v>
      </c>
      <c r="L165" s="74">
        <v>0</v>
      </c>
      <c r="M165" s="74">
        <v>17.408737833856197</v>
      </c>
      <c r="N165" s="74">
        <v>2.4501967132012852</v>
      </c>
    </row>
    <row r="166" spans="1:14" x14ac:dyDescent="0.25">
      <c r="A166" t="e">
        <f>VLOOKUP(VALUE(RIGHT(B166,4)),'Waste Lookups'!$B$1:$C$295,2,FALSE)</f>
        <v>#N/A</v>
      </c>
      <c r="B166" s="74" t="s">
        <v>1143</v>
      </c>
      <c r="C166" s="74" t="s">
        <v>1144</v>
      </c>
      <c r="D166" s="74">
        <v>0</v>
      </c>
      <c r="E166" s="74">
        <v>0.6342000000000001</v>
      </c>
      <c r="F166" s="74">
        <v>0</v>
      </c>
      <c r="G166" s="74">
        <v>0.83123999999999987</v>
      </c>
      <c r="H166" s="74">
        <v>0.39755472293433253</v>
      </c>
      <c r="I166" s="74"/>
      <c r="J166" s="74">
        <v>0</v>
      </c>
      <c r="K166" s="74">
        <v>13.955306144553216</v>
      </c>
      <c r="L166" s="74">
        <v>0</v>
      </c>
      <c r="M166" s="74">
        <v>18.29108905644657</v>
      </c>
      <c r="N166" s="74">
        <v>8.7480256508382883</v>
      </c>
    </row>
    <row r="167" spans="1:14" x14ac:dyDescent="0.25">
      <c r="A167" t="e">
        <f>VLOOKUP(VALUE(RIGHT(B167,4)),'Waste Lookups'!$B$1:$C$295,2,FALSE)</f>
        <v>#N/A</v>
      </c>
      <c r="B167" s="74" t="s">
        <v>1145</v>
      </c>
      <c r="C167" s="74" t="s">
        <v>1146</v>
      </c>
      <c r="D167" s="74">
        <v>0</v>
      </c>
      <c r="E167" s="74">
        <v>4.3036799999999999</v>
      </c>
      <c r="F167" s="74">
        <v>0</v>
      </c>
      <c r="G167" s="74">
        <v>4.2702300000000006</v>
      </c>
      <c r="H167" s="74">
        <v>4.1244977322027214</v>
      </c>
      <c r="I167" s="74"/>
      <c r="J167" s="74">
        <v>0</v>
      </c>
      <c r="K167" s="74">
        <v>3.5019754079803525</v>
      </c>
      <c r="L167" s="74">
        <v>0</v>
      </c>
      <c r="M167" s="74">
        <v>3.4747565912010043</v>
      </c>
      <c r="N167" s="74">
        <v>3.3561718409465073</v>
      </c>
    </row>
    <row r="168" spans="1:14" x14ac:dyDescent="0.25">
      <c r="A168" t="e">
        <f>VLOOKUP(VALUE(RIGHT(B168,4)),'Waste Lookups'!$B$1:$C$295,2,FALSE)</f>
        <v>#N/A</v>
      </c>
      <c r="B168" s="74" t="s">
        <v>1147</v>
      </c>
      <c r="C168" s="74" t="s">
        <v>1148</v>
      </c>
      <c r="D168" s="74">
        <v>0</v>
      </c>
      <c r="E168" s="74">
        <v>24.509460000000001</v>
      </c>
      <c r="F168" s="74">
        <v>0</v>
      </c>
      <c r="G168" s="74">
        <v>15.745589999999998</v>
      </c>
      <c r="H168" s="74">
        <v>3.3174616446460266</v>
      </c>
      <c r="I168" s="74"/>
      <c r="J168" s="74">
        <v>0</v>
      </c>
      <c r="K168" s="74">
        <v>23.265050659758497</v>
      </c>
      <c r="L168" s="74">
        <v>0</v>
      </c>
      <c r="M168" s="74">
        <v>14.946145244235767</v>
      </c>
      <c r="N168" s="74">
        <v>3.1490254466844863</v>
      </c>
    </row>
    <row r="169" spans="1:14" x14ac:dyDescent="0.25">
      <c r="A169" t="str">
        <f>VLOOKUP(VALUE(RIGHT(B169,4)),'Waste Lookups'!$B$1:$C$295,2,FALSE)</f>
        <v>Pemberton House</v>
      </c>
      <c r="B169" s="74" t="s">
        <v>761</v>
      </c>
      <c r="C169" s="74" t="s">
        <v>1149</v>
      </c>
      <c r="D169" s="74">
        <v>0</v>
      </c>
      <c r="E169" s="74">
        <v>38.38476</v>
      </c>
      <c r="F169" s="74">
        <v>0</v>
      </c>
      <c r="G169" s="74">
        <v>3.3100199999999989</v>
      </c>
      <c r="H169" s="74">
        <v>9.4337085387497517</v>
      </c>
      <c r="I169" s="74"/>
      <c r="J169" s="74">
        <v>0</v>
      </c>
      <c r="K169" s="74">
        <v>42.370188377654792</v>
      </c>
      <c r="L169" s="74">
        <v>0</v>
      </c>
      <c r="M169" s="74">
        <v>3.6536940945782881</v>
      </c>
      <c r="N169" s="74">
        <v>10.41319544232444</v>
      </c>
    </row>
    <row r="170" spans="1:14" x14ac:dyDescent="0.25">
      <c r="A170" t="e">
        <f>VLOOKUP(VALUE(RIGHT(B170,4)),'Waste Lookups'!$B$1:$C$295,2,FALSE)</f>
        <v>#N/A</v>
      </c>
      <c r="B170" s="74" t="s">
        <v>1150</v>
      </c>
      <c r="C170" s="74" t="s">
        <v>1151</v>
      </c>
      <c r="D170" s="74">
        <v>0</v>
      </c>
      <c r="E170" s="74">
        <v>9.7626600000000003</v>
      </c>
      <c r="F170" s="74">
        <v>0</v>
      </c>
      <c r="G170" s="74">
        <v>5.8840199999999996</v>
      </c>
      <c r="H170" s="74">
        <v>7.7602681916781693</v>
      </c>
      <c r="I170" s="74"/>
      <c r="J170" s="74">
        <v>0</v>
      </c>
      <c r="K170" s="74">
        <v>14.59820135011603</v>
      </c>
      <c r="L170" s="74">
        <v>0</v>
      </c>
      <c r="M170" s="74">
        <v>8.7984328767067286</v>
      </c>
      <c r="N170" s="74">
        <v>11.604005219173743</v>
      </c>
    </row>
    <row r="171" spans="1:14" x14ac:dyDescent="0.25">
      <c r="A171" t="e">
        <f>VLOOKUP(VALUE(RIGHT(B171,4)),'Waste Lookups'!$B$1:$C$295,2,FALSE)</f>
        <v>#N/A</v>
      </c>
      <c r="B171" s="74" t="s">
        <v>1152</v>
      </c>
      <c r="C171" s="74" t="s">
        <v>1153</v>
      </c>
      <c r="D171" s="74">
        <v>0</v>
      </c>
      <c r="E171" s="74">
        <v>10.051919999999999</v>
      </c>
      <c r="F171" s="74">
        <v>0</v>
      </c>
      <c r="G171" s="74">
        <v>9.3518099999999986</v>
      </c>
      <c r="H171" s="74">
        <v>2.7815578781305463</v>
      </c>
      <c r="I171" s="74"/>
      <c r="J171" s="74">
        <v>0</v>
      </c>
      <c r="K171" s="74">
        <v>8.0195316160652617</v>
      </c>
      <c r="L171" s="74">
        <v>0</v>
      </c>
      <c r="M171" s="74">
        <v>7.4609762077727719</v>
      </c>
      <c r="N171" s="74">
        <v>2.2191572700124276</v>
      </c>
    </row>
    <row r="172" spans="1:14" x14ac:dyDescent="0.25">
      <c r="A172" t="e">
        <f>VLOOKUP(VALUE(RIGHT(B172,4)),'Waste Lookups'!$B$1:$C$295,2,FALSE)</f>
        <v>#N/A</v>
      </c>
      <c r="B172" s="74" t="s">
        <v>1154</v>
      </c>
      <c r="C172" s="74" t="s">
        <v>1155</v>
      </c>
      <c r="D172" s="74">
        <v>0</v>
      </c>
      <c r="E172" s="74">
        <v>3.6026400000000005</v>
      </c>
      <c r="F172" s="74">
        <v>0</v>
      </c>
      <c r="G172" s="74">
        <v>11.558609999999998</v>
      </c>
      <c r="H172" s="74">
        <v>2.6808440149871817</v>
      </c>
      <c r="I172" s="74"/>
      <c r="J172" s="74">
        <v>0</v>
      </c>
      <c r="K172" s="74">
        <v>6.3384467571027807</v>
      </c>
      <c r="L172" s="74">
        <v>0</v>
      </c>
      <c r="M172" s="74">
        <v>20.336096326892434</v>
      </c>
      <c r="N172" s="74">
        <v>4.7166486390796463</v>
      </c>
    </row>
    <row r="173" spans="1:14" x14ac:dyDescent="0.25">
      <c r="A173" t="e">
        <f>VLOOKUP(VALUE(RIGHT(B173,4)),'Waste Lookups'!$B$1:$C$295,2,FALSE)</f>
        <v>#N/A</v>
      </c>
      <c r="B173" s="74" t="s">
        <v>1156</v>
      </c>
      <c r="C173" s="74" t="s">
        <v>1157</v>
      </c>
      <c r="D173" s="74">
        <v>0</v>
      </c>
      <c r="E173" s="74">
        <v>4.3028999999999993</v>
      </c>
      <c r="F173" s="74">
        <v>0</v>
      </c>
      <c r="G173" s="74">
        <v>7.1182799999999986</v>
      </c>
      <c r="H173" s="74">
        <v>2.6808440149871817</v>
      </c>
      <c r="I173" s="74"/>
      <c r="J173" s="74">
        <v>0</v>
      </c>
      <c r="K173" s="74">
        <v>3.5711287486347318</v>
      </c>
      <c r="L173" s="74">
        <v>0</v>
      </c>
      <c r="M173" s="74">
        <v>5.9077120892494932</v>
      </c>
      <c r="N173" s="74">
        <v>2.2249271729591871</v>
      </c>
    </row>
    <row r="174" spans="1:14" x14ac:dyDescent="0.25">
      <c r="A174" t="e">
        <f>VLOOKUP(VALUE(RIGHT(B174,4)),'Waste Lookups'!$B$1:$C$295,2,FALSE)</f>
        <v>#N/A</v>
      </c>
      <c r="B174" s="74" t="s">
        <v>1158</v>
      </c>
      <c r="C174" s="74" t="s">
        <v>1159</v>
      </c>
      <c r="D174" s="74">
        <v>0</v>
      </c>
      <c r="E174" s="74">
        <v>9.1423200000000016</v>
      </c>
      <c r="F174" s="74">
        <v>0</v>
      </c>
      <c r="G174" s="74">
        <v>8.3822399999999995</v>
      </c>
      <c r="H174" s="74">
        <v>2.6940958390849934</v>
      </c>
      <c r="I174" s="74"/>
      <c r="J174" s="74">
        <v>0</v>
      </c>
      <c r="K174" s="74">
        <v>9.1672167032737537</v>
      </c>
      <c r="L174" s="74">
        <v>0</v>
      </c>
      <c r="M174" s="74">
        <v>8.4050668253626419</v>
      </c>
      <c r="N174" s="74">
        <v>2.7014325003150481</v>
      </c>
    </row>
    <row r="175" spans="1:14" x14ac:dyDescent="0.25">
      <c r="A175" t="e">
        <f>VLOOKUP(VALUE(RIGHT(B175,4)),'Waste Lookups'!$B$1:$C$295,2,FALSE)</f>
        <v>#N/A</v>
      </c>
      <c r="B175" s="74" t="s">
        <v>1160</v>
      </c>
      <c r="C175" s="74" t="s">
        <v>1161</v>
      </c>
      <c r="D175" s="74">
        <v>0</v>
      </c>
      <c r="E175" s="74">
        <v>13.06188</v>
      </c>
      <c r="F175" s="74">
        <v>0</v>
      </c>
      <c r="G175" s="74">
        <v>3.9778199999999999</v>
      </c>
      <c r="H175" s="74">
        <v>2.8337700650759219</v>
      </c>
      <c r="I175" s="74"/>
      <c r="J175" s="74">
        <v>0</v>
      </c>
      <c r="K175" s="74">
        <v>19.949762113768529</v>
      </c>
      <c r="L175" s="74">
        <v>0</v>
      </c>
      <c r="M175" s="74">
        <v>6.0754319233824461</v>
      </c>
      <c r="N175" s="74">
        <v>4.3280935580010684</v>
      </c>
    </row>
    <row r="176" spans="1:14" x14ac:dyDescent="0.25">
      <c r="A176" t="e">
        <f>VLOOKUP(VALUE(RIGHT(B176,4)),'Waste Lookups'!$B$1:$C$295,2,FALSE)</f>
        <v>#N/A</v>
      </c>
      <c r="B176" s="74" t="s">
        <v>1162</v>
      </c>
      <c r="C176" s="74" t="s">
        <v>1163</v>
      </c>
      <c r="D176" s="74">
        <v>0</v>
      </c>
      <c r="E176" s="74">
        <v>42.12863999999999</v>
      </c>
      <c r="F176" s="74">
        <v>0</v>
      </c>
      <c r="G176" s="74">
        <v>4.6961099999999991</v>
      </c>
      <c r="H176" s="74">
        <v>3.1984602642476831</v>
      </c>
      <c r="I176" s="74"/>
      <c r="J176" s="74">
        <v>0</v>
      </c>
      <c r="K176" s="74">
        <v>41.610077646828287</v>
      </c>
      <c r="L176" s="74">
        <v>0</v>
      </c>
      <c r="M176" s="74">
        <v>4.6383054790766272</v>
      </c>
      <c r="N176" s="74">
        <v>3.1590903467484597</v>
      </c>
    </row>
    <row r="177" spans="1:14" x14ac:dyDescent="0.25">
      <c r="A177" t="e">
        <f>VLOOKUP(VALUE(RIGHT(B177,4)),'Waste Lookups'!$B$1:$C$295,2,FALSE)</f>
        <v>#N/A</v>
      </c>
      <c r="B177" s="74" t="s">
        <v>1164</v>
      </c>
      <c r="C177" s="74" t="s">
        <v>1165</v>
      </c>
      <c r="D177" s="74">
        <v>28.306060606060608</v>
      </c>
      <c r="E177" s="74">
        <v>7.9274999999999993</v>
      </c>
      <c r="F177" s="74">
        <v>0</v>
      </c>
      <c r="G177" s="74">
        <v>17.067600000000002</v>
      </c>
      <c r="H177" s="74">
        <v>7.3378000394399541</v>
      </c>
      <c r="I177" s="74"/>
      <c r="J177" s="74">
        <v>20.536369471337675</v>
      </c>
      <c r="K177" s="74">
        <v>5.7514915710020027</v>
      </c>
      <c r="L177" s="74">
        <v>0</v>
      </c>
      <c r="M177" s="74">
        <v>12.382738257613848</v>
      </c>
      <c r="N177" s="74">
        <v>5.3236575309412872</v>
      </c>
    </row>
    <row r="178" spans="1:14" x14ac:dyDescent="0.25">
      <c r="A178" t="e">
        <f>VLOOKUP(VALUE(RIGHT(B178,4)),'Waste Lookups'!$B$1:$C$295,2,FALSE)</f>
        <v>#N/A</v>
      </c>
      <c r="B178" s="74" t="s">
        <v>1166</v>
      </c>
      <c r="C178" s="74" t="s">
        <v>1167</v>
      </c>
      <c r="D178" s="74">
        <v>0</v>
      </c>
      <c r="E178" s="74">
        <v>2.6553599999999999</v>
      </c>
      <c r="F178" s="74">
        <v>0</v>
      </c>
      <c r="G178" s="74">
        <v>1.16631</v>
      </c>
      <c r="H178" s="74">
        <v>0</v>
      </c>
      <c r="I178" s="74"/>
      <c r="J178" s="74">
        <v>0</v>
      </c>
      <c r="K178" s="74">
        <v>2.0415386007165952</v>
      </c>
      <c r="L178" s="74">
        <v>0</v>
      </c>
      <c r="M178" s="74">
        <v>0.89670209892510699</v>
      </c>
      <c r="N178" s="74">
        <v>0</v>
      </c>
    </row>
    <row r="179" spans="1:14" x14ac:dyDescent="0.25">
      <c r="A179" t="e">
        <f>VLOOKUP(VALUE(RIGHT(B179,4)),'Waste Lookups'!$B$1:$C$295,2,FALSE)</f>
        <v>#N/A</v>
      </c>
      <c r="B179" s="74" t="s">
        <v>1168</v>
      </c>
      <c r="C179" s="74" t="s">
        <v>1169</v>
      </c>
      <c r="D179" s="74">
        <v>0</v>
      </c>
      <c r="E179" s="74">
        <v>1.59954</v>
      </c>
      <c r="F179" s="74">
        <v>0</v>
      </c>
      <c r="G179" s="74">
        <v>0.46494000000000002</v>
      </c>
      <c r="H179" s="74">
        <v>1.7497266811279826</v>
      </c>
      <c r="I179" s="74"/>
      <c r="J179" s="74">
        <v>0</v>
      </c>
      <c r="K179" s="74">
        <v>0.8005480952880899</v>
      </c>
      <c r="L179" s="74">
        <v>0</v>
      </c>
      <c r="M179" s="74">
        <v>0.23269616978834201</v>
      </c>
      <c r="N179" s="74">
        <v>0.87571449407439506</v>
      </c>
    </row>
    <row r="180" spans="1:14" x14ac:dyDescent="0.25">
      <c r="A180" t="str">
        <f>VLOOKUP(VALUE(RIGHT(B180,4)),'Waste Lookups'!$B$1:$C$295,2,FALSE)</f>
        <v>Appleton House</v>
      </c>
      <c r="B180" s="74" t="s">
        <v>667</v>
      </c>
      <c r="C180" s="74" t="s">
        <v>1170</v>
      </c>
      <c r="D180" s="74">
        <v>0</v>
      </c>
      <c r="E180" s="74">
        <v>31.901580000000003</v>
      </c>
      <c r="F180" s="74">
        <v>0</v>
      </c>
      <c r="G180" s="74">
        <v>0</v>
      </c>
      <c r="H180" s="74">
        <v>1.3767320055215932</v>
      </c>
      <c r="I180" s="74"/>
      <c r="J180" s="74">
        <v>0</v>
      </c>
      <c r="K180" s="74">
        <v>16.27095730084746</v>
      </c>
      <c r="L180" s="74">
        <v>0</v>
      </c>
      <c r="M180" s="74">
        <v>0</v>
      </c>
      <c r="N180" s="74">
        <v>0.70218301653247051</v>
      </c>
    </row>
    <row r="181" spans="1:14" x14ac:dyDescent="0.25">
      <c r="A181" t="e">
        <f>VLOOKUP(VALUE(RIGHT(B181,4)),'Waste Lookups'!$B$1:$C$295,2,FALSE)</f>
        <v>#N/A</v>
      </c>
      <c r="B181" s="74" t="s">
        <v>1171</v>
      </c>
      <c r="C181" s="74" t="s">
        <v>1172</v>
      </c>
      <c r="D181" s="74">
        <v>2.3636060606060605</v>
      </c>
      <c r="E181" s="74">
        <v>1.1589599999999998</v>
      </c>
      <c r="F181" s="74">
        <v>0</v>
      </c>
      <c r="G181" s="74">
        <v>1.0434599999999998</v>
      </c>
      <c r="H181" s="74">
        <v>1.0187118911457305</v>
      </c>
      <c r="I181" s="74"/>
      <c r="J181" s="74">
        <v>0.5319118091179964</v>
      </c>
      <c r="K181" s="74">
        <v>0.26081525198717898</v>
      </c>
      <c r="L181" s="74">
        <v>0</v>
      </c>
      <c r="M181" s="74">
        <v>0.23482284361715827</v>
      </c>
      <c r="N181" s="74">
        <v>0.22925346741173927</v>
      </c>
    </row>
    <row r="182" spans="1:14" x14ac:dyDescent="0.25">
      <c r="A182" t="e">
        <f>VLOOKUP(VALUE(RIGHT(B182,4)),'Waste Lookups'!$B$1:$C$295,2,FALSE)</f>
        <v>#N/A</v>
      </c>
      <c r="B182" s="74" t="s">
        <v>1173</v>
      </c>
      <c r="C182" s="74" t="s">
        <v>1174</v>
      </c>
      <c r="D182" s="74">
        <v>0</v>
      </c>
      <c r="E182" s="74">
        <v>2.9463600000000003</v>
      </c>
      <c r="F182" s="74">
        <v>0</v>
      </c>
      <c r="G182" s="74">
        <v>0</v>
      </c>
      <c r="H182" s="74">
        <v>0.66338631433642281</v>
      </c>
      <c r="I182" s="74"/>
      <c r="J182" s="74">
        <v>0</v>
      </c>
      <c r="K182" s="74">
        <v>2.931430777400037</v>
      </c>
      <c r="L182" s="74">
        <v>0</v>
      </c>
      <c r="M182" s="74">
        <v>0</v>
      </c>
      <c r="N182" s="74">
        <v>0.66002493217114178</v>
      </c>
    </row>
    <row r="183" spans="1:14" x14ac:dyDescent="0.25">
      <c r="A183" t="e">
        <f>VLOOKUP(VALUE(RIGHT(B183,4)),'Waste Lookups'!$B$1:$C$295,2,FALSE)</f>
        <v>#N/A</v>
      </c>
      <c r="B183" s="74" t="s">
        <v>1175</v>
      </c>
      <c r="C183" s="74" t="s">
        <v>1176</v>
      </c>
      <c r="D183" s="74">
        <v>2.084090909090909</v>
      </c>
      <c r="E183" s="74">
        <v>0</v>
      </c>
      <c r="F183" s="74">
        <v>0</v>
      </c>
      <c r="G183" s="74">
        <v>0</v>
      </c>
      <c r="H183" s="74">
        <v>0</v>
      </c>
      <c r="I183" s="74"/>
      <c r="J183" s="74">
        <v>1.6943055555555557</v>
      </c>
      <c r="K183" s="74">
        <v>0</v>
      </c>
      <c r="L183" s="74">
        <v>0</v>
      </c>
      <c r="M183" s="74">
        <v>0</v>
      </c>
      <c r="N183" s="74">
        <v>0</v>
      </c>
    </row>
    <row r="184" spans="1:14" x14ac:dyDescent="0.25">
      <c r="A184" t="e">
        <f>VLOOKUP(VALUE(RIGHT(B184,4)),'Waste Lookups'!$B$1:$C$295,2,FALSE)</f>
        <v>#N/A</v>
      </c>
      <c r="B184" s="74" t="s">
        <v>1177</v>
      </c>
      <c r="C184" s="74" t="s">
        <v>1178</v>
      </c>
      <c r="D184" s="74">
        <v>0.39215151515151514</v>
      </c>
      <c r="E184" s="74">
        <v>3.5249999999999995</v>
      </c>
      <c r="F184" s="74">
        <v>0</v>
      </c>
      <c r="G184" s="74">
        <v>0</v>
      </c>
      <c r="H184" s="74">
        <v>0</v>
      </c>
      <c r="I184" s="74"/>
      <c r="J184" s="74">
        <v>0.35933683911974074</v>
      </c>
      <c r="K184" s="74">
        <v>3.2300330585429133</v>
      </c>
      <c r="L184" s="74">
        <v>0</v>
      </c>
      <c r="M184" s="74">
        <v>0</v>
      </c>
      <c r="N184" s="74">
        <v>0</v>
      </c>
    </row>
    <row r="185" spans="1:14" x14ac:dyDescent="0.25">
      <c r="A185" t="e">
        <f>VLOOKUP(VALUE(RIGHT(B185,4)),'Waste Lookups'!$B$1:$C$295,2,FALSE)</f>
        <v>#N/A</v>
      </c>
      <c r="B185" s="74" t="s">
        <v>1179</v>
      </c>
      <c r="C185" s="74" t="s">
        <v>1180</v>
      </c>
      <c r="D185" s="74">
        <v>2.5173333333333336</v>
      </c>
      <c r="E185" s="74">
        <v>2.0195400000000001</v>
      </c>
      <c r="F185" s="74">
        <v>0</v>
      </c>
      <c r="G185" s="74">
        <v>0</v>
      </c>
      <c r="H185" s="74">
        <v>1.417061723525932</v>
      </c>
      <c r="I185" s="74"/>
      <c r="J185" s="74">
        <v>1.9885533790438132</v>
      </c>
      <c r="K185" s="74">
        <v>1.5953243211523338</v>
      </c>
      <c r="L185" s="74">
        <v>0</v>
      </c>
      <c r="M185" s="74">
        <v>0</v>
      </c>
      <c r="N185" s="74">
        <v>1.1193999782697859</v>
      </c>
    </row>
    <row r="186" spans="1:14" x14ac:dyDescent="0.25">
      <c r="A186" t="e">
        <f>VLOOKUP(VALUE(RIGHT(B186,4)),'Waste Lookups'!$B$1:$C$295,2,FALSE)</f>
        <v>#N/A</v>
      </c>
      <c r="B186" s="74" t="s">
        <v>1181</v>
      </c>
      <c r="C186" s="74" t="s">
        <v>1182</v>
      </c>
      <c r="D186" s="74">
        <v>0</v>
      </c>
      <c r="E186" s="74">
        <v>0</v>
      </c>
      <c r="F186" s="74">
        <v>0</v>
      </c>
      <c r="G186" s="74">
        <v>0</v>
      </c>
      <c r="H186" s="74">
        <v>0</v>
      </c>
      <c r="I186" s="74"/>
      <c r="J186" s="74">
        <v>0</v>
      </c>
      <c r="K186" s="74">
        <v>0</v>
      </c>
      <c r="L186" s="74">
        <v>0</v>
      </c>
      <c r="M186" s="74">
        <v>0</v>
      </c>
      <c r="N186" s="74">
        <v>0</v>
      </c>
    </row>
    <row r="187" spans="1:14" x14ac:dyDescent="0.25">
      <c r="A187" t="e">
        <f>VLOOKUP(VALUE(RIGHT(B187,4)),'Waste Lookups'!$B$1:$C$295,2,FALSE)</f>
        <v>#N/A</v>
      </c>
      <c r="B187" s="74" t="s">
        <v>1183</v>
      </c>
      <c r="C187" s="74" t="s">
        <v>1184</v>
      </c>
      <c r="D187" s="74">
        <v>1.2395151515151517</v>
      </c>
      <c r="E187" s="74">
        <v>6.1040999999999999</v>
      </c>
      <c r="F187" s="74">
        <v>0</v>
      </c>
      <c r="G187" s="74">
        <v>1.3003199999999997</v>
      </c>
      <c r="H187" s="74">
        <v>1.3425422993492406</v>
      </c>
      <c r="I187" s="74"/>
      <c r="J187" s="74">
        <v>0.89455985231017243</v>
      </c>
      <c r="K187" s="74">
        <v>4.4053376740185612</v>
      </c>
      <c r="L187" s="74">
        <v>0</v>
      </c>
      <c r="M187" s="74">
        <v>0.93844279816513754</v>
      </c>
      <c r="N187" s="74">
        <v>0.9689146918115229</v>
      </c>
    </row>
    <row r="188" spans="1:14" x14ac:dyDescent="0.25">
      <c r="A188" t="e">
        <f>VLOOKUP(VALUE(RIGHT(B188,4)),'Waste Lookups'!$B$1:$C$295,2,FALSE)</f>
        <v>#N/A</v>
      </c>
      <c r="B188" s="74" t="s">
        <v>1185</v>
      </c>
      <c r="C188" s="74" t="s">
        <v>1186</v>
      </c>
      <c r="D188" s="74">
        <v>0</v>
      </c>
      <c r="E188" s="74">
        <v>0</v>
      </c>
      <c r="F188" s="74">
        <v>0</v>
      </c>
      <c r="G188" s="74">
        <v>0</v>
      </c>
      <c r="H188" s="74">
        <v>0</v>
      </c>
      <c r="I188" s="74"/>
      <c r="J188" s="74">
        <v>0</v>
      </c>
      <c r="K188" s="74">
        <v>0</v>
      </c>
      <c r="L188" s="74">
        <v>0</v>
      </c>
      <c r="M188" s="74">
        <v>0</v>
      </c>
      <c r="N188" s="74">
        <v>0</v>
      </c>
    </row>
    <row r="189" spans="1:14" x14ac:dyDescent="0.25">
      <c r="A189" t="e">
        <f>VLOOKUP(VALUE(RIGHT(B189,4)),'Waste Lookups'!$B$1:$C$295,2,FALSE)</f>
        <v>#N/A</v>
      </c>
      <c r="B189" s="74" t="s">
        <v>1187</v>
      </c>
      <c r="C189" s="74" t="s">
        <v>1188</v>
      </c>
      <c r="D189" s="74">
        <v>0</v>
      </c>
      <c r="E189" s="74">
        <v>1.7388000000000001</v>
      </c>
      <c r="F189" s="74">
        <v>0</v>
      </c>
      <c r="G189" s="74">
        <v>0.49896000000000001</v>
      </c>
      <c r="H189" s="74">
        <v>0</v>
      </c>
      <c r="I189" s="74"/>
      <c r="J189" s="74">
        <v>0</v>
      </c>
      <c r="K189" s="74">
        <v>2.1166127737226277</v>
      </c>
      <c r="L189" s="74">
        <v>0</v>
      </c>
      <c r="M189" s="74">
        <v>0.60737583941605833</v>
      </c>
      <c r="N189" s="74">
        <v>0</v>
      </c>
    </row>
    <row r="190" spans="1:14" x14ac:dyDescent="0.25">
      <c r="A190" t="e">
        <f>VLOOKUP(VALUE(RIGHT(B190,4)),'Waste Lookups'!$B$1:$C$295,2,FALSE)</f>
        <v>#N/A</v>
      </c>
      <c r="B190" s="74" t="s">
        <v>1189</v>
      </c>
      <c r="C190" s="74" t="s">
        <v>1190</v>
      </c>
      <c r="D190" s="74">
        <v>1.5842727272727271</v>
      </c>
      <c r="E190" s="74">
        <v>1.41612</v>
      </c>
      <c r="F190" s="74">
        <v>0</v>
      </c>
      <c r="G190" s="74">
        <v>0</v>
      </c>
      <c r="H190" s="74">
        <v>8.4811674225990924E-2</v>
      </c>
      <c r="I190" s="74"/>
      <c r="J190" s="74">
        <v>2.4873208745164064</v>
      </c>
      <c r="K190" s="74">
        <v>2.2233197455110996</v>
      </c>
      <c r="L190" s="74">
        <v>0</v>
      </c>
      <c r="M190" s="74">
        <v>0</v>
      </c>
      <c r="N190" s="74">
        <v>0.13315500801944777</v>
      </c>
    </row>
    <row r="191" spans="1:14" x14ac:dyDescent="0.25">
      <c r="A191" t="e">
        <f>VLOOKUP(VALUE(RIGHT(B191,4)),'Waste Lookups'!$B$1:$C$295,2,FALSE)</f>
        <v>#N/A</v>
      </c>
      <c r="B191" s="74" t="s">
        <v>1191</v>
      </c>
      <c r="C191" s="74" t="s">
        <v>1192</v>
      </c>
      <c r="D191" s="74">
        <v>1.1023939393939395</v>
      </c>
      <c r="E191" s="74">
        <v>2.1958200000000003</v>
      </c>
      <c r="F191" s="74">
        <v>0</v>
      </c>
      <c r="G191" s="74">
        <v>1.05579</v>
      </c>
      <c r="H191" s="74">
        <v>2.5164772234273318</v>
      </c>
      <c r="I191" s="74"/>
      <c r="J191" s="74">
        <v>1.1238444637765042</v>
      </c>
      <c r="K191" s="74">
        <v>2.2385465506154891</v>
      </c>
      <c r="L191" s="74">
        <v>0</v>
      </c>
      <c r="M191" s="74">
        <v>1.0763336988798387</v>
      </c>
      <c r="N191" s="74">
        <v>2.5654431639231348</v>
      </c>
    </row>
    <row r="192" spans="1:14" x14ac:dyDescent="0.25">
      <c r="A192" t="e">
        <f>VLOOKUP(VALUE(RIGHT(B192,4)),'Waste Lookups'!$B$1:$C$295,2,FALSE)</f>
        <v>#N/A</v>
      </c>
      <c r="B192" s="74" t="s">
        <v>1193</v>
      </c>
      <c r="C192" s="74" t="s">
        <v>1194</v>
      </c>
      <c r="D192" s="74">
        <v>2.7378181818181826</v>
      </c>
      <c r="E192" s="74">
        <v>2.6703599999999996</v>
      </c>
      <c r="F192" s="74">
        <v>0</v>
      </c>
      <c r="G192" s="74">
        <v>0</v>
      </c>
      <c r="H192" s="74">
        <v>1.3351654506014592</v>
      </c>
      <c r="I192" s="74"/>
      <c r="J192" s="74">
        <v>3.3695786830627577</v>
      </c>
      <c r="K192" s="74">
        <v>3.2865543051247879</v>
      </c>
      <c r="L192" s="74">
        <v>0</v>
      </c>
      <c r="M192" s="74">
        <v>0</v>
      </c>
      <c r="N192" s="74">
        <v>1.6432592458425468</v>
      </c>
    </row>
    <row r="193" spans="1:14" x14ac:dyDescent="0.25">
      <c r="A193" t="e">
        <f>VLOOKUP(VALUE(RIGHT(B193,4)),'Waste Lookups'!$B$1:$C$295,2,FALSE)</f>
        <v>#N/A</v>
      </c>
      <c r="B193" s="74" t="s">
        <v>1195</v>
      </c>
      <c r="C193" s="74" t="s">
        <v>1196</v>
      </c>
      <c r="D193" s="74">
        <v>0</v>
      </c>
      <c r="E193" s="74">
        <v>3.5848800000000001</v>
      </c>
      <c r="F193" s="74">
        <v>0</v>
      </c>
      <c r="G193" s="74">
        <v>0</v>
      </c>
      <c r="H193" s="74">
        <v>1.0069619404456713</v>
      </c>
      <c r="I193" s="74"/>
      <c r="J193" s="74">
        <v>0</v>
      </c>
      <c r="K193" s="74">
        <v>4.0485958208955228</v>
      </c>
      <c r="L193" s="74">
        <v>0</v>
      </c>
      <c r="M193" s="74">
        <v>0</v>
      </c>
      <c r="N193" s="74">
        <v>1.1372157237869027</v>
      </c>
    </row>
    <row r="194" spans="1:14" x14ac:dyDescent="0.25">
      <c r="A194" t="e">
        <f>VLOOKUP(VALUE(RIGHT(B194,4)),'Waste Lookups'!$B$1:$C$295,2,FALSE)</f>
        <v>#N/A</v>
      </c>
      <c r="B194" s="74" t="s">
        <v>1197</v>
      </c>
      <c r="C194" s="74" t="s">
        <v>1198</v>
      </c>
      <c r="D194" s="74">
        <v>0.18284848484848487</v>
      </c>
      <c r="E194" s="74">
        <v>0.10122000000000002</v>
      </c>
      <c r="F194" s="74">
        <v>0</v>
      </c>
      <c r="G194" s="74">
        <v>0</v>
      </c>
      <c r="H194" s="74">
        <v>0</v>
      </c>
      <c r="I194" s="74"/>
      <c r="J194" s="74">
        <v>0.75009282764178487</v>
      </c>
      <c r="K194" s="74">
        <v>0.4152312012692656</v>
      </c>
      <c r="L194" s="74">
        <v>0</v>
      </c>
      <c r="M194" s="74">
        <v>0</v>
      </c>
      <c r="N194" s="74">
        <v>0</v>
      </c>
    </row>
    <row r="195" spans="1:14" x14ac:dyDescent="0.25">
      <c r="A195" t="e">
        <f>VLOOKUP(VALUE(RIGHT(B195,4)),'Waste Lookups'!$B$1:$C$295,2,FALSE)</f>
        <v>#N/A</v>
      </c>
      <c r="B195" s="74" t="s">
        <v>1199</v>
      </c>
      <c r="C195" s="74" t="s">
        <v>1200</v>
      </c>
      <c r="D195" s="74">
        <v>3.6194545454545457</v>
      </c>
      <c r="E195" s="74">
        <v>2.0347799999999996</v>
      </c>
      <c r="F195" s="74">
        <v>0</v>
      </c>
      <c r="G195" s="74">
        <v>0</v>
      </c>
      <c r="H195" s="74">
        <v>0.54040938670873595</v>
      </c>
      <c r="I195" s="74"/>
      <c r="J195" s="74">
        <v>0.98387506416489023</v>
      </c>
      <c r="K195" s="74">
        <v>0.55311353628562276</v>
      </c>
      <c r="L195" s="74">
        <v>0</v>
      </c>
      <c r="M195" s="74">
        <v>0</v>
      </c>
      <c r="N195" s="74">
        <v>0.14689929472690591</v>
      </c>
    </row>
    <row r="196" spans="1:14" x14ac:dyDescent="0.25">
      <c r="A196" t="e">
        <f>VLOOKUP(VALUE(RIGHT(B196,4)),'Waste Lookups'!$B$1:$C$295,2,FALSE)</f>
        <v>#N/A</v>
      </c>
      <c r="B196" s="74" t="s">
        <v>1201</v>
      </c>
      <c r="C196" s="74" t="s">
        <v>1202</v>
      </c>
      <c r="D196" s="74">
        <v>0</v>
      </c>
      <c r="E196" s="74">
        <v>10.982099999999999</v>
      </c>
      <c r="F196" s="74">
        <v>0</v>
      </c>
      <c r="G196" s="74">
        <v>8.4719700000000007</v>
      </c>
      <c r="H196" s="74">
        <v>4.0257274699270358</v>
      </c>
      <c r="I196" s="74"/>
      <c r="J196" s="74">
        <v>0</v>
      </c>
      <c r="K196" s="74">
        <v>7.0907500775853629</v>
      </c>
      <c r="L196" s="74">
        <v>0</v>
      </c>
      <c r="M196" s="74">
        <v>5.4700487097004098</v>
      </c>
      <c r="N196" s="74">
        <v>2.5992685706488432</v>
      </c>
    </row>
    <row r="197" spans="1:14" x14ac:dyDescent="0.25">
      <c r="A197" t="e">
        <f>VLOOKUP(VALUE(RIGHT(B197,4)),'Waste Lookups'!$B$1:$C$295,2,FALSE)</f>
        <v>#N/A</v>
      </c>
      <c r="B197" s="74" t="s">
        <v>1203</v>
      </c>
      <c r="C197" s="74" t="s">
        <v>1204</v>
      </c>
      <c r="D197" s="74">
        <v>0</v>
      </c>
      <c r="E197" s="74">
        <v>1.26864</v>
      </c>
      <c r="F197" s="74">
        <v>0</v>
      </c>
      <c r="G197" s="74">
        <v>0</v>
      </c>
      <c r="H197" s="74">
        <v>0</v>
      </c>
      <c r="I197" s="74"/>
      <c r="J197" s="74">
        <v>0</v>
      </c>
      <c r="K197" s="74">
        <v>1.2196799999999999</v>
      </c>
      <c r="L197" s="74">
        <v>0</v>
      </c>
      <c r="M197" s="74">
        <v>0</v>
      </c>
      <c r="N197" s="74">
        <v>0</v>
      </c>
    </row>
    <row r="198" spans="1:14" x14ac:dyDescent="0.25">
      <c r="A198" t="e">
        <f>VLOOKUP(VALUE(RIGHT(B198,4)),'Waste Lookups'!$B$1:$C$295,2,FALSE)</f>
        <v>#N/A</v>
      </c>
      <c r="B198" s="74" t="s">
        <v>1205</v>
      </c>
      <c r="C198" s="74" t="s">
        <v>1206</v>
      </c>
      <c r="D198" s="74">
        <v>0.96512121212121216</v>
      </c>
      <c r="E198" s="74">
        <v>1.8823799999999999</v>
      </c>
      <c r="F198" s="74">
        <v>0</v>
      </c>
      <c r="G198" s="74">
        <v>0</v>
      </c>
      <c r="H198" s="74">
        <v>0.2278430289883652</v>
      </c>
      <c r="I198" s="74"/>
      <c r="J198" s="74">
        <v>1.0460949006369633</v>
      </c>
      <c r="K198" s="74">
        <v>2.0403117187042992</v>
      </c>
      <c r="L198" s="74">
        <v>0</v>
      </c>
      <c r="M198" s="74">
        <v>0</v>
      </c>
      <c r="N198" s="74">
        <v>0.2469590635631726</v>
      </c>
    </row>
    <row r="199" spans="1:14" x14ac:dyDescent="0.25">
      <c r="A199" t="e">
        <f>VLOOKUP(VALUE(RIGHT(B199,4)),'Waste Lookups'!$B$1:$C$295,2,FALSE)</f>
        <v>#N/A</v>
      </c>
      <c r="B199" s="74" t="s">
        <v>1207</v>
      </c>
      <c r="C199" s="74" t="s">
        <v>1208</v>
      </c>
      <c r="D199" s="74">
        <v>0</v>
      </c>
      <c r="E199" s="74">
        <v>2.5811999999999999</v>
      </c>
      <c r="F199" s="74">
        <v>0</v>
      </c>
      <c r="G199" s="74">
        <v>0</v>
      </c>
      <c r="H199" s="74">
        <v>0.12522973772431473</v>
      </c>
      <c r="I199" s="74"/>
      <c r="J199" s="74">
        <v>0</v>
      </c>
      <c r="K199" s="74">
        <v>2.6110949362119724</v>
      </c>
      <c r="L199" s="74">
        <v>0</v>
      </c>
      <c r="M199" s="74">
        <v>0</v>
      </c>
      <c r="N199" s="74">
        <v>0.12668012321211514</v>
      </c>
    </row>
    <row r="200" spans="1:14" x14ac:dyDescent="0.25">
      <c r="A200" t="e">
        <f>VLOOKUP(VALUE(RIGHT(B200,4)),'Waste Lookups'!$B$1:$C$295,2,FALSE)</f>
        <v>#N/A</v>
      </c>
      <c r="B200" s="74" t="s">
        <v>1209</v>
      </c>
      <c r="C200" s="74" t="s">
        <v>1210</v>
      </c>
      <c r="D200" s="74">
        <v>3.4026060606060602</v>
      </c>
      <c r="E200" s="74">
        <v>1.72902</v>
      </c>
      <c r="F200" s="74">
        <v>0</v>
      </c>
      <c r="G200" s="74">
        <v>0</v>
      </c>
      <c r="H200" s="74">
        <v>5.8701605206073753</v>
      </c>
      <c r="I200" s="74"/>
      <c r="J200" s="74">
        <v>2.1059322523688673</v>
      </c>
      <c r="K200" s="74">
        <v>1.0701206422768379</v>
      </c>
      <c r="L200" s="74">
        <v>0</v>
      </c>
      <c r="M200" s="74">
        <v>0</v>
      </c>
      <c r="N200" s="74">
        <v>3.633144756324683</v>
      </c>
    </row>
    <row r="201" spans="1:14" x14ac:dyDescent="0.25">
      <c r="A201" t="e">
        <f>VLOOKUP(VALUE(RIGHT(B201,4)),'Waste Lookups'!$B$1:$C$295,2,FALSE)</f>
        <v>#N/A</v>
      </c>
      <c r="B201" s="74" t="s">
        <v>1211</v>
      </c>
      <c r="C201" s="74" t="s">
        <v>1212</v>
      </c>
      <c r="D201" s="74">
        <v>0</v>
      </c>
      <c r="E201" s="74">
        <v>0</v>
      </c>
      <c r="F201" s="74">
        <v>0</v>
      </c>
      <c r="G201" s="74">
        <v>1.0169999999999999</v>
      </c>
      <c r="H201" s="74">
        <v>2.3261368566357721</v>
      </c>
      <c r="I201" s="74"/>
      <c r="J201" s="74">
        <v>0</v>
      </c>
      <c r="K201" s="74">
        <v>0</v>
      </c>
      <c r="L201" s="74">
        <v>0</v>
      </c>
      <c r="M201" s="74">
        <v>0.61989669324577867</v>
      </c>
      <c r="N201" s="74">
        <v>1.4178609099957178</v>
      </c>
    </row>
    <row r="202" spans="1:14" x14ac:dyDescent="0.25">
      <c r="A202" t="e">
        <f>VLOOKUP(VALUE(RIGHT(B202,4)),'Waste Lookups'!$B$1:$C$295,2,FALSE)</f>
        <v>#N/A</v>
      </c>
      <c r="B202" s="74" t="s">
        <v>1213</v>
      </c>
      <c r="C202" s="74" t="s">
        <v>1214</v>
      </c>
      <c r="D202" s="74">
        <v>0</v>
      </c>
      <c r="E202" s="74">
        <v>0</v>
      </c>
      <c r="F202" s="74">
        <v>0</v>
      </c>
      <c r="G202" s="74">
        <v>0</v>
      </c>
      <c r="H202" s="74">
        <v>0</v>
      </c>
      <c r="I202" s="74"/>
      <c r="J202" s="74">
        <v>0</v>
      </c>
      <c r="K202" s="74">
        <v>0</v>
      </c>
      <c r="L202" s="74">
        <v>0</v>
      </c>
      <c r="M202" s="74">
        <v>0</v>
      </c>
      <c r="N202" s="74">
        <v>0</v>
      </c>
    </row>
    <row r="203" spans="1:14" x14ac:dyDescent="0.25">
      <c r="A203" t="e">
        <f>VLOOKUP(VALUE(RIGHT(B203,4)),'Waste Lookups'!$B$1:$C$295,2,FALSE)</f>
        <v>#N/A</v>
      </c>
      <c r="B203" s="74" t="s">
        <v>1215</v>
      </c>
      <c r="C203" s="74" t="s">
        <v>1216</v>
      </c>
      <c r="D203" s="74">
        <v>2.0667575757575758</v>
      </c>
      <c r="E203" s="74">
        <v>1.0085999999999999</v>
      </c>
      <c r="F203" s="74">
        <v>0</v>
      </c>
      <c r="G203" s="74">
        <v>0</v>
      </c>
      <c r="H203" s="74">
        <v>1.0450388483533821</v>
      </c>
      <c r="I203" s="74"/>
      <c r="J203" s="74">
        <v>2.6798944520617272</v>
      </c>
      <c r="K203" s="74">
        <v>1.3078174121890842</v>
      </c>
      <c r="L203" s="74">
        <v>0</v>
      </c>
      <c r="M203" s="74">
        <v>0</v>
      </c>
      <c r="N203" s="74">
        <v>1.3550664309841176</v>
      </c>
    </row>
    <row r="204" spans="1:14" x14ac:dyDescent="0.25">
      <c r="A204" t="e">
        <f>VLOOKUP(VALUE(RIGHT(B204,4)),'Waste Lookups'!$B$1:$C$295,2,FALSE)</f>
        <v>#N/A</v>
      </c>
      <c r="B204" s="74" t="s">
        <v>1217</v>
      </c>
      <c r="C204" s="74" t="s">
        <v>1218</v>
      </c>
      <c r="D204" s="74">
        <v>3.2866666666666662</v>
      </c>
      <c r="E204" s="74">
        <v>0</v>
      </c>
      <c r="F204" s="74">
        <v>0</v>
      </c>
      <c r="G204" s="74">
        <v>0</v>
      </c>
      <c r="H204" s="74">
        <v>0</v>
      </c>
      <c r="I204" s="74"/>
      <c r="J204" s="74">
        <v>2.4739722222222222</v>
      </c>
      <c r="K204" s="74">
        <v>0</v>
      </c>
      <c r="L204" s="74">
        <v>0</v>
      </c>
      <c r="M204" s="74">
        <v>0</v>
      </c>
      <c r="N204" s="74">
        <v>0</v>
      </c>
    </row>
    <row r="205" spans="1:14" x14ac:dyDescent="0.25">
      <c r="A205" t="e">
        <f>VLOOKUP(VALUE(RIGHT(B205,4)),'Waste Lookups'!$B$1:$C$295,2,FALSE)</f>
        <v>#N/A</v>
      </c>
      <c r="B205" s="74" t="s">
        <v>1219</v>
      </c>
      <c r="C205" s="74" t="s">
        <v>1220</v>
      </c>
      <c r="D205" s="74">
        <v>0</v>
      </c>
      <c r="E205" s="74">
        <v>0</v>
      </c>
      <c r="F205" s="74">
        <v>0</v>
      </c>
      <c r="G205" s="74">
        <v>0</v>
      </c>
      <c r="H205" s="74">
        <v>0</v>
      </c>
      <c r="I205" s="74"/>
      <c r="J205" s="74">
        <v>0</v>
      </c>
      <c r="K205" s="74">
        <v>0</v>
      </c>
      <c r="L205" s="74">
        <v>0</v>
      </c>
      <c r="M205" s="74">
        <v>0</v>
      </c>
      <c r="N205" s="74">
        <v>0</v>
      </c>
    </row>
    <row r="206" spans="1:14" x14ac:dyDescent="0.25">
      <c r="A206" t="e">
        <f>VLOOKUP(VALUE(RIGHT(B206,4)),'Waste Lookups'!$B$1:$C$295,2,FALSE)</f>
        <v>#N/A</v>
      </c>
      <c r="B206" s="74" t="s">
        <v>1221</v>
      </c>
      <c r="C206" s="74" t="s">
        <v>1222</v>
      </c>
      <c r="D206" s="74">
        <v>0</v>
      </c>
      <c r="E206" s="74">
        <v>0</v>
      </c>
      <c r="F206" s="74">
        <v>0</v>
      </c>
      <c r="G206" s="74">
        <v>0</v>
      </c>
      <c r="H206" s="74">
        <v>0</v>
      </c>
      <c r="I206" s="74"/>
      <c r="J206" s="74">
        <v>0</v>
      </c>
      <c r="K206" s="74">
        <v>0</v>
      </c>
      <c r="L206" s="74">
        <v>0</v>
      </c>
      <c r="M206" s="74">
        <v>0</v>
      </c>
      <c r="N206" s="74">
        <v>0</v>
      </c>
    </row>
    <row r="207" spans="1:14" x14ac:dyDescent="0.25">
      <c r="A207" t="e">
        <f>VLOOKUP(VALUE(RIGHT(B207,4)),'Waste Lookups'!$B$1:$C$295,2,FALSE)</f>
        <v>#N/A</v>
      </c>
      <c r="B207" s="74" t="s">
        <v>1223</v>
      </c>
      <c r="C207" s="74" t="s">
        <v>1224</v>
      </c>
      <c r="D207" s="74">
        <v>0.36018181818181821</v>
      </c>
      <c r="E207" s="74">
        <v>2.0577599999999996</v>
      </c>
      <c r="F207" s="74">
        <v>0</v>
      </c>
      <c r="G207" s="74">
        <v>0</v>
      </c>
      <c r="H207" s="74">
        <v>0</v>
      </c>
      <c r="I207" s="74"/>
      <c r="J207" s="74">
        <v>0.36474043999826772</v>
      </c>
      <c r="K207" s="74">
        <v>2.0838039288034302</v>
      </c>
      <c r="L207" s="74">
        <v>0</v>
      </c>
      <c r="M207" s="74">
        <v>0</v>
      </c>
      <c r="N207" s="74">
        <v>0</v>
      </c>
    </row>
    <row r="208" spans="1:14" x14ac:dyDescent="0.25">
      <c r="A208" t="e">
        <f>VLOOKUP(VALUE(RIGHT(B208,4)),'Waste Lookups'!$B$1:$C$295,2,FALSE)</f>
        <v>#N/A</v>
      </c>
      <c r="B208" s="74" t="s">
        <v>1225</v>
      </c>
      <c r="C208" s="74" t="s">
        <v>1226</v>
      </c>
      <c r="D208" s="74">
        <v>4.1607878787878789</v>
      </c>
      <c r="E208" s="74">
        <v>0</v>
      </c>
      <c r="F208" s="74">
        <v>0</v>
      </c>
      <c r="G208" s="74">
        <v>0</v>
      </c>
      <c r="H208" s="74">
        <v>0</v>
      </c>
      <c r="I208" s="74"/>
      <c r="J208" s="74">
        <v>0.32505555555555554</v>
      </c>
      <c r="K208" s="74">
        <v>0</v>
      </c>
      <c r="L208" s="74">
        <v>0</v>
      </c>
      <c r="M208" s="74">
        <v>0</v>
      </c>
      <c r="N208" s="74">
        <v>0</v>
      </c>
    </row>
    <row r="209" spans="1:14" x14ac:dyDescent="0.25">
      <c r="A209" t="e">
        <f>VLOOKUP(VALUE(RIGHT(B209,4)),'Waste Lookups'!$B$1:$C$295,2,FALSE)</f>
        <v>#N/A</v>
      </c>
      <c r="B209" s="74" t="s">
        <v>1227</v>
      </c>
      <c r="C209" s="74" t="s">
        <v>1228</v>
      </c>
      <c r="D209" s="74">
        <v>0.67487878787878786</v>
      </c>
      <c r="E209" s="74">
        <v>0</v>
      </c>
      <c r="F209" s="74">
        <v>0</v>
      </c>
      <c r="G209" s="74">
        <v>0</v>
      </c>
      <c r="H209" s="74">
        <v>0</v>
      </c>
      <c r="I209" s="74"/>
      <c r="J209" s="74">
        <v>7.2525000000000013</v>
      </c>
      <c r="K209" s="74">
        <v>0</v>
      </c>
      <c r="L209" s="74">
        <v>0</v>
      </c>
      <c r="M209" s="74">
        <v>0</v>
      </c>
      <c r="N209" s="74">
        <v>0</v>
      </c>
    </row>
    <row r="210" spans="1:14" x14ac:dyDescent="0.25">
      <c r="A210" t="str">
        <f>VLOOKUP(VALUE(RIGHT(B210,4)),'Waste Lookups'!$B$1:$C$295,2,FALSE)</f>
        <v>Sedgefield Community Hospital</v>
      </c>
      <c r="B210" s="74" t="s">
        <v>765</v>
      </c>
      <c r="C210" s="74" t="s">
        <v>1229</v>
      </c>
      <c r="D210" s="74">
        <v>5.0544545454545453</v>
      </c>
      <c r="E210" s="74">
        <v>15.28458</v>
      </c>
      <c r="F210" s="74">
        <v>0</v>
      </c>
      <c r="G210" s="74">
        <v>2.2049999999999996</v>
      </c>
      <c r="H210" s="74">
        <v>0.65031118122658249</v>
      </c>
      <c r="I210" s="74"/>
      <c r="J210" s="74">
        <v>4.6466440928288364</v>
      </c>
      <c r="K210" s="74">
        <v>14.05136849677274</v>
      </c>
      <c r="L210" s="74">
        <v>0</v>
      </c>
      <c r="M210" s="74">
        <v>2.027093157638868</v>
      </c>
      <c r="N210" s="74">
        <v>0.59784188018161244</v>
      </c>
    </row>
    <row r="211" spans="1:14" x14ac:dyDescent="0.25">
      <c r="A211" t="e">
        <f>VLOOKUP(VALUE(RIGHT(B211,4)),'Waste Lookups'!$B$1:$C$295,2,FALSE)</f>
        <v>#N/A</v>
      </c>
      <c r="B211" s="74" t="s">
        <v>1230</v>
      </c>
      <c r="C211" s="74" t="s">
        <v>1231</v>
      </c>
      <c r="D211" s="74">
        <v>2.4648484848484844</v>
      </c>
      <c r="E211" s="74">
        <v>2.3921999999999994</v>
      </c>
      <c r="F211" s="74">
        <v>0</v>
      </c>
      <c r="G211" s="74">
        <v>1.1860200000000001</v>
      </c>
      <c r="H211" s="74">
        <v>0.49036166436600276</v>
      </c>
      <c r="I211" s="74"/>
      <c r="J211" s="74">
        <v>2.7673376261359208</v>
      </c>
      <c r="K211" s="74">
        <v>2.685773632714501</v>
      </c>
      <c r="L211" s="74">
        <v>0</v>
      </c>
      <c r="M211" s="74">
        <v>1.3315697867536378</v>
      </c>
      <c r="N211" s="74">
        <v>0.55053943175662912</v>
      </c>
    </row>
    <row r="212" spans="1:14" x14ac:dyDescent="0.25">
      <c r="A212" t="e">
        <f>VLOOKUP(VALUE(RIGHT(B212,4)),'Waste Lookups'!$B$1:$C$295,2,FALSE)</f>
        <v>#N/A</v>
      </c>
      <c r="B212" s="74" t="s">
        <v>1232</v>
      </c>
      <c r="C212" s="74" t="s">
        <v>1233</v>
      </c>
      <c r="D212" s="74">
        <v>5.454545454545455E-2</v>
      </c>
      <c r="E212" s="74">
        <v>75.353400000000008</v>
      </c>
      <c r="F212" s="74">
        <v>0</v>
      </c>
      <c r="G212" s="74">
        <v>0</v>
      </c>
      <c r="H212" s="74">
        <v>0</v>
      </c>
      <c r="I212" s="74"/>
      <c r="J212" s="74">
        <v>4.7985990188361194E-2</v>
      </c>
      <c r="K212" s="74">
        <v>66.291637739427046</v>
      </c>
      <c r="L212" s="74">
        <v>0</v>
      </c>
      <c r="M212" s="74">
        <v>0</v>
      </c>
      <c r="N212" s="74">
        <v>0</v>
      </c>
    </row>
    <row r="213" spans="1:14" x14ac:dyDescent="0.25">
      <c r="A213" t="e">
        <f>VLOOKUP(VALUE(RIGHT(B213,4)),'Waste Lookups'!$B$1:$C$295,2,FALSE)</f>
        <v>#N/A</v>
      </c>
      <c r="B213" s="74" t="s">
        <v>1234</v>
      </c>
      <c r="C213" s="74" t="s">
        <v>1235</v>
      </c>
      <c r="D213" s="74">
        <v>5.112121212121213E-2</v>
      </c>
      <c r="E213" s="74">
        <v>0</v>
      </c>
      <c r="F213" s="74">
        <v>0</v>
      </c>
      <c r="G213" s="74">
        <v>0</v>
      </c>
      <c r="H213" s="74">
        <v>0</v>
      </c>
      <c r="I213" s="74"/>
      <c r="J213" s="74">
        <v>0</v>
      </c>
      <c r="K213" s="74">
        <v>0</v>
      </c>
      <c r="L213" s="74">
        <v>0</v>
      </c>
      <c r="M213" s="74">
        <v>0</v>
      </c>
      <c r="N213" s="74">
        <v>0</v>
      </c>
    </row>
    <row r="214" spans="1:14" x14ac:dyDescent="0.25">
      <c r="A214" t="e">
        <f>VLOOKUP(VALUE(RIGHT(B214,4)),'Waste Lookups'!$B$1:$C$295,2,FALSE)</f>
        <v>#N/A</v>
      </c>
      <c r="B214" s="74" t="s">
        <v>1236</v>
      </c>
      <c r="C214" s="74" t="s">
        <v>1237</v>
      </c>
      <c r="D214" s="74">
        <v>4.5289090909090906</v>
      </c>
      <c r="E214" s="74">
        <v>1.57152</v>
      </c>
      <c r="F214" s="74">
        <v>0</v>
      </c>
      <c r="G214" s="74">
        <v>0.84338999999999986</v>
      </c>
      <c r="H214" s="74">
        <v>1.3669698284362057</v>
      </c>
      <c r="I214" s="74"/>
      <c r="J214" s="74">
        <v>4.9462447687798381</v>
      </c>
      <c r="K214" s="74">
        <v>1.7163344246931187</v>
      </c>
      <c r="L214" s="74">
        <v>0</v>
      </c>
      <c r="M214" s="74">
        <v>0.92110777491977802</v>
      </c>
      <c r="N214" s="74">
        <v>1.4929351036333656</v>
      </c>
    </row>
    <row r="215" spans="1:14" x14ac:dyDescent="0.25">
      <c r="A215" t="e">
        <f>VLOOKUP(VALUE(RIGHT(B215,4)),'Waste Lookups'!$B$1:$C$295,2,FALSE)</f>
        <v>#N/A</v>
      </c>
      <c r="B215" s="74" t="s">
        <v>1238</v>
      </c>
      <c r="C215" s="74" t="s">
        <v>1239</v>
      </c>
      <c r="D215" s="74">
        <v>0</v>
      </c>
      <c r="E215" s="74">
        <v>2.1970800000000001</v>
      </c>
      <c r="F215" s="74">
        <v>0</v>
      </c>
      <c r="G215" s="74">
        <v>0.1467</v>
      </c>
      <c r="H215" s="74">
        <v>0</v>
      </c>
      <c r="I215" s="74"/>
      <c r="J215" s="74">
        <v>0</v>
      </c>
      <c r="K215" s="74">
        <v>3.3162803336122146</v>
      </c>
      <c r="L215" s="74">
        <v>0</v>
      </c>
      <c r="M215" s="74">
        <v>0.22142949958167746</v>
      </c>
      <c r="N215" s="74">
        <v>0</v>
      </c>
    </row>
    <row r="216" spans="1:14" x14ac:dyDescent="0.25">
      <c r="A216" t="e">
        <f>VLOOKUP(VALUE(RIGHT(B216,4)),'Waste Lookups'!$B$1:$C$295,2,FALSE)</f>
        <v>#N/A</v>
      </c>
      <c r="B216" s="74" t="s">
        <v>1240</v>
      </c>
      <c r="C216" s="74" t="s">
        <v>1241</v>
      </c>
      <c r="D216" s="74">
        <v>1.1027575757575758</v>
      </c>
      <c r="E216" s="74">
        <v>1.40628</v>
      </c>
      <c r="F216" s="74">
        <v>0</v>
      </c>
      <c r="G216" s="74">
        <v>1.08144</v>
      </c>
      <c r="H216" s="74">
        <v>0</v>
      </c>
      <c r="I216" s="74"/>
      <c r="J216" s="74">
        <v>1.5909401964878094</v>
      </c>
      <c r="K216" s="74">
        <v>2.0288297525227916</v>
      </c>
      <c r="L216" s="74">
        <v>0</v>
      </c>
      <c r="M216" s="74">
        <v>1.5601854876470176</v>
      </c>
      <c r="N216" s="74">
        <v>0</v>
      </c>
    </row>
    <row r="217" spans="1:14" x14ac:dyDescent="0.25">
      <c r="A217" t="e">
        <f>VLOOKUP(VALUE(RIGHT(B217,4)),'Waste Lookups'!$B$1:$C$295,2,FALSE)</f>
        <v>#N/A</v>
      </c>
      <c r="B217" s="74" t="s">
        <v>1242</v>
      </c>
      <c r="C217" s="74" t="s">
        <v>1243</v>
      </c>
      <c r="D217" s="74">
        <v>11.092060606060606</v>
      </c>
      <c r="E217" s="74">
        <v>5.2705199999999994</v>
      </c>
      <c r="F217" s="74">
        <v>0</v>
      </c>
      <c r="G217" s="74">
        <v>0.43586999999999992</v>
      </c>
      <c r="H217" s="74">
        <v>1.2121885229737726</v>
      </c>
      <c r="I217" s="74"/>
      <c r="J217" s="74">
        <v>10.687668623478313</v>
      </c>
      <c r="K217" s="74">
        <v>5.0783685046434854</v>
      </c>
      <c r="L217" s="74">
        <v>0</v>
      </c>
      <c r="M217" s="74">
        <v>0.41997914439542133</v>
      </c>
      <c r="N217" s="74">
        <v>1.1679948120413761</v>
      </c>
    </row>
    <row r="218" spans="1:14" x14ac:dyDescent="0.25">
      <c r="A218" t="e">
        <f>VLOOKUP(VALUE(RIGHT(B218,4)),'Waste Lookups'!$B$1:$C$295,2,FALSE)</f>
        <v>#N/A</v>
      </c>
      <c r="B218" s="74" t="s">
        <v>1244</v>
      </c>
      <c r="C218" s="74" t="s">
        <v>1245</v>
      </c>
      <c r="D218" s="74">
        <v>0</v>
      </c>
      <c r="E218" s="74">
        <v>0</v>
      </c>
      <c r="F218" s="74">
        <v>0</v>
      </c>
      <c r="G218" s="74">
        <v>0</v>
      </c>
      <c r="H218" s="74">
        <v>0</v>
      </c>
      <c r="I218" s="74"/>
      <c r="J218" s="74">
        <v>0</v>
      </c>
      <c r="K218" s="74">
        <v>0</v>
      </c>
      <c r="L218" s="74">
        <v>0</v>
      </c>
      <c r="M218" s="74">
        <v>0</v>
      </c>
      <c r="N218" s="74">
        <v>0</v>
      </c>
    </row>
    <row r="219" spans="1:14" x14ac:dyDescent="0.25">
      <c r="A219" t="e">
        <f>VLOOKUP(VALUE(RIGHT(B219,4)),'Waste Lookups'!$B$1:$C$295,2,FALSE)</f>
        <v>#N/A</v>
      </c>
      <c r="B219" s="74" t="s">
        <v>1246</v>
      </c>
      <c r="C219" s="74" t="s">
        <v>1247</v>
      </c>
      <c r="D219" s="74">
        <v>0</v>
      </c>
      <c r="E219" s="74">
        <v>0</v>
      </c>
      <c r="F219" s="74">
        <v>0</v>
      </c>
      <c r="G219" s="74">
        <v>0</v>
      </c>
      <c r="H219" s="74">
        <v>0.16962334845198185</v>
      </c>
      <c r="I219" s="74"/>
      <c r="J219" s="74">
        <v>0</v>
      </c>
      <c r="K219" s="74">
        <v>0</v>
      </c>
      <c r="L219" s="74">
        <v>0</v>
      </c>
      <c r="M219" s="74">
        <v>0</v>
      </c>
      <c r="N219" s="74">
        <v>-0.39260737527114964</v>
      </c>
    </row>
    <row r="220" spans="1:14" x14ac:dyDescent="0.25">
      <c r="A220" t="e">
        <f>VLOOKUP(VALUE(RIGHT(B220,4)),'Waste Lookups'!$B$1:$C$295,2,FALSE)</f>
        <v>#N/A</v>
      </c>
      <c r="B220" s="74" t="s">
        <v>1248</v>
      </c>
      <c r="C220" s="74" t="s">
        <v>1249</v>
      </c>
      <c r="D220" s="74">
        <v>0</v>
      </c>
      <c r="E220" s="74">
        <v>0</v>
      </c>
      <c r="F220" s="74">
        <v>0</v>
      </c>
      <c r="G220" s="74">
        <v>0</v>
      </c>
      <c r="H220" s="74">
        <v>0.55295444685466377</v>
      </c>
      <c r="I220" s="74"/>
      <c r="J220" s="74">
        <v>0</v>
      </c>
      <c r="K220" s="74">
        <v>0</v>
      </c>
      <c r="L220" s="74">
        <v>0</v>
      </c>
      <c r="M220" s="74">
        <v>0</v>
      </c>
      <c r="N220" s="74">
        <v>1.2346724511930587</v>
      </c>
    </row>
    <row r="221" spans="1:14" x14ac:dyDescent="0.25">
      <c r="A221" t="e">
        <f>VLOOKUP(VALUE(RIGHT(B221,4)),'Waste Lookups'!$B$1:$C$295,2,FALSE)</f>
        <v>#N/A</v>
      </c>
      <c r="B221" s="74" t="s">
        <v>1250</v>
      </c>
      <c r="C221" s="74" t="s">
        <v>1251</v>
      </c>
      <c r="D221" s="74">
        <v>0</v>
      </c>
      <c r="E221" s="74">
        <v>0</v>
      </c>
      <c r="F221" s="74">
        <v>0</v>
      </c>
      <c r="G221" s="74">
        <v>0</v>
      </c>
      <c r="H221" s="74">
        <v>0</v>
      </c>
      <c r="I221" s="74"/>
      <c r="J221" s="74">
        <v>0</v>
      </c>
      <c r="K221" s="74">
        <v>0</v>
      </c>
      <c r="L221" s="74">
        <v>0</v>
      </c>
      <c r="M221" s="74">
        <v>0</v>
      </c>
      <c r="N221" s="74">
        <v>0</v>
      </c>
    </row>
    <row r="222" spans="1:14" x14ac:dyDescent="0.25">
      <c r="A222" t="e">
        <f>VLOOKUP(VALUE(RIGHT(B222,4)),'Waste Lookups'!$B$1:$C$295,2,FALSE)</f>
        <v>#N/A</v>
      </c>
      <c r="B222" s="74" t="s">
        <v>1252</v>
      </c>
      <c r="C222" s="74" t="s">
        <v>1253</v>
      </c>
      <c r="D222" s="74">
        <v>0</v>
      </c>
      <c r="E222" s="74">
        <v>0</v>
      </c>
      <c r="F222" s="74">
        <v>0</v>
      </c>
      <c r="G222" s="74">
        <v>0</v>
      </c>
      <c r="H222" s="74">
        <v>0.8050924866890159</v>
      </c>
      <c r="I222" s="74"/>
      <c r="J222" s="74">
        <v>0</v>
      </c>
      <c r="K222" s="74">
        <v>0</v>
      </c>
      <c r="L222" s="74">
        <v>0</v>
      </c>
      <c r="M222" s="74">
        <v>0</v>
      </c>
      <c r="N222" s="74">
        <v>2.1543195950831522</v>
      </c>
    </row>
    <row r="223" spans="1:14" x14ac:dyDescent="0.25">
      <c r="A223" t="e">
        <f>VLOOKUP(VALUE(RIGHT(B223,4)),'Waste Lookups'!$B$1:$C$295,2,FALSE)</f>
        <v>#N/A</v>
      </c>
      <c r="B223" s="74" t="s">
        <v>1254</v>
      </c>
      <c r="C223" s="74" t="s">
        <v>1255</v>
      </c>
      <c r="D223" s="74">
        <v>11.049303030303031</v>
      </c>
      <c r="E223" s="74">
        <v>5.0319599999999989</v>
      </c>
      <c r="F223" s="74">
        <v>0</v>
      </c>
      <c r="G223" s="74">
        <v>1.1376900000000001</v>
      </c>
      <c r="H223" s="74">
        <v>0.45983829619404459</v>
      </c>
      <c r="I223" s="74"/>
      <c r="J223" s="74">
        <v>8.1826357359487591</v>
      </c>
      <c r="K223" s="74">
        <v>3.7264518499440125</v>
      </c>
      <c r="L223" s="74">
        <v>0</v>
      </c>
      <c r="M223" s="74">
        <v>0.84252398770316217</v>
      </c>
      <c r="N223" s="74">
        <v>0.34053634558450391</v>
      </c>
    </row>
    <row r="224" spans="1:14" x14ac:dyDescent="0.25">
      <c r="A224" t="e">
        <f>VLOOKUP(VALUE(RIGHT(B224,4)),'Waste Lookups'!$B$1:$C$295,2,FALSE)</f>
        <v>#N/A</v>
      </c>
      <c r="B224" s="74" t="s">
        <v>1256</v>
      </c>
      <c r="C224" s="74" t="s">
        <v>1257</v>
      </c>
      <c r="D224" s="74">
        <v>0</v>
      </c>
      <c r="E224" s="74">
        <v>1.9479</v>
      </c>
      <c r="F224" s="74">
        <v>0</v>
      </c>
      <c r="G224" s="74">
        <v>0</v>
      </c>
      <c r="H224" s="74">
        <v>0</v>
      </c>
      <c r="I224" s="74"/>
      <c r="J224" s="74">
        <v>0</v>
      </c>
      <c r="K224" s="74">
        <v>3.8399350000000005</v>
      </c>
      <c r="L224" s="74">
        <v>0</v>
      </c>
      <c r="M224" s="74">
        <v>0</v>
      </c>
      <c r="N224" s="74">
        <v>0</v>
      </c>
    </row>
    <row r="225" spans="1:14" x14ac:dyDescent="0.25">
      <c r="A225" t="e">
        <f>VLOOKUP(VALUE(RIGHT(B225,4)),'Waste Lookups'!$B$1:$C$295,2,FALSE)</f>
        <v>#N/A</v>
      </c>
      <c r="B225" s="74" t="s">
        <v>1258</v>
      </c>
      <c r="C225" s="74" t="s">
        <v>1259</v>
      </c>
      <c r="D225" s="74">
        <v>0</v>
      </c>
      <c r="E225" s="74">
        <v>0</v>
      </c>
      <c r="F225" s="74">
        <v>0</v>
      </c>
      <c r="G225" s="74">
        <v>0</v>
      </c>
      <c r="H225" s="74">
        <v>0</v>
      </c>
      <c r="I225" s="74"/>
      <c r="J225" s="74">
        <v>0</v>
      </c>
      <c r="K225" s="74">
        <v>0</v>
      </c>
      <c r="L225" s="74">
        <v>0</v>
      </c>
      <c r="M225" s="74">
        <v>0</v>
      </c>
      <c r="N225" s="74">
        <v>0</v>
      </c>
    </row>
    <row r="226" spans="1:14" x14ac:dyDescent="0.25">
      <c r="A226" t="e">
        <f>VLOOKUP(VALUE(RIGHT(B226,4)),'Waste Lookups'!$B$1:$C$295,2,FALSE)</f>
        <v>#N/A</v>
      </c>
      <c r="B226" s="74" t="s">
        <v>1260</v>
      </c>
      <c r="C226" s="74" t="s">
        <v>1261</v>
      </c>
      <c r="D226" s="74">
        <v>1.0884848484848484</v>
      </c>
      <c r="E226" s="74">
        <v>1.5993000000000002</v>
      </c>
      <c r="F226" s="74">
        <v>0</v>
      </c>
      <c r="G226" s="74">
        <v>2.0920499999999995</v>
      </c>
      <c r="H226" s="74">
        <v>0.98244606586472094</v>
      </c>
      <c r="I226" s="74"/>
      <c r="J226" s="74">
        <v>1.5003646705718685</v>
      </c>
      <c r="K226" s="74">
        <v>2.2044709404873175</v>
      </c>
      <c r="L226" s="74">
        <v>0</v>
      </c>
      <c r="M226" s="74">
        <v>2.883676252764642</v>
      </c>
      <c r="N226" s="74">
        <v>1.3542010897235452</v>
      </c>
    </row>
    <row r="227" spans="1:14" x14ac:dyDescent="0.25">
      <c r="A227" t="str">
        <f>VLOOKUP(VALUE(RIGHT(B227,4)),'Waste Lookups'!$B$1:$C$295,2,FALSE)</f>
        <v>Dr Piper house</v>
      </c>
      <c r="B227" s="74" t="s">
        <v>764</v>
      </c>
      <c r="C227" s="74" t="s">
        <v>1262</v>
      </c>
      <c r="D227" s="74">
        <v>8.2108181818181816</v>
      </c>
      <c r="E227" s="74">
        <v>9.7795199999999998</v>
      </c>
      <c r="F227" s="74">
        <v>0</v>
      </c>
      <c r="G227" s="74">
        <v>5.1545700000000005</v>
      </c>
      <c r="H227" s="74">
        <v>6.1635559061329124</v>
      </c>
      <c r="I227" s="74"/>
      <c r="J227" s="74">
        <v>4.1301791181467724</v>
      </c>
      <c r="K227" s="74">
        <v>4.9192624163740284</v>
      </c>
      <c r="L227" s="74">
        <v>0</v>
      </c>
      <c r="M227" s="74">
        <v>2.5928350750925477</v>
      </c>
      <c r="N227" s="74">
        <v>3.1003718914895417</v>
      </c>
    </row>
    <row r="228" spans="1:14" x14ac:dyDescent="0.25">
      <c r="A228" t="e">
        <f>VLOOKUP(VALUE(RIGHT(B228,4)),'Waste Lookups'!$B$1:$C$295,2,FALSE)</f>
        <v>#N/A</v>
      </c>
      <c r="B228" s="74" t="s">
        <v>1263</v>
      </c>
      <c r="C228" s="74" t="s">
        <v>1264</v>
      </c>
      <c r="D228" s="74">
        <v>2.9407878787878792</v>
      </c>
      <c r="E228" s="74">
        <v>1.1008799999999999</v>
      </c>
      <c r="F228" s="74">
        <v>0</v>
      </c>
      <c r="G228" s="74">
        <v>0.61604999999999999</v>
      </c>
      <c r="H228" s="74">
        <v>1.4731611122066655</v>
      </c>
      <c r="I228" s="74"/>
      <c r="J228" s="74">
        <v>1.6556993553528847</v>
      </c>
      <c r="K228" s="74">
        <v>0.6198088340435377</v>
      </c>
      <c r="L228" s="74">
        <v>0</v>
      </c>
      <c r="M228" s="74">
        <v>0.34684364527697964</v>
      </c>
      <c r="N228" s="74">
        <v>0.82940762963728509</v>
      </c>
    </row>
    <row r="229" spans="1:14" x14ac:dyDescent="0.25">
      <c r="A229" t="e">
        <f>VLOOKUP(VALUE(RIGHT(B229,4)),'Waste Lookups'!$B$1:$C$295,2,FALSE)</f>
        <v>#N/A</v>
      </c>
      <c r="B229" s="74" t="s">
        <v>1265</v>
      </c>
      <c r="C229" s="74" t="s">
        <v>1266</v>
      </c>
      <c r="D229" s="74">
        <v>0.46812121212121205</v>
      </c>
      <c r="E229" s="74">
        <v>1.34544</v>
      </c>
      <c r="F229" s="74">
        <v>0</v>
      </c>
      <c r="G229" s="74">
        <v>0.16739999999999999</v>
      </c>
      <c r="H229" s="74">
        <v>1.4097732202721354</v>
      </c>
      <c r="I229" s="74"/>
      <c r="J229" s="74">
        <v>0.35733605345963154</v>
      </c>
      <c r="K229" s="74">
        <v>1.0270293405167001</v>
      </c>
      <c r="L229" s="74">
        <v>0</v>
      </c>
      <c r="M229" s="74">
        <v>0.12778326168576495</v>
      </c>
      <c r="N229" s="74">
        <v>1.07613751686749</v>
      </c>
    </row>
    <row r="230" spans="1:14" x14ac:dyDescent="0.25">
      <c r="A230" t="e">
        <f>VLOOKUP(VALUE(RIGHT(B230,4)),'Waste Lookups'!$B$1:$C$295,2,FALSE)</f>
        <v>#N/A</v>
      </c>
      <c r="B230" s="74" t="s">
        <v>1267</v>
      </c>
      <c r="C230" s="74" t="s">
        <v>1268</v>
      </c>
      <c r="D230" s="74">
        <v>6.4529696969696966</v>
      </c>
      <c r="E230" s="74">
        <v>3.3690599999999993</v>
      </c>
      <c r="F230" s="74">
        <v>0</v>
      </c>
      <c r="G230" s="74">
        <v>0.80757000000000012</v>
      </c>
      <c r="H230" s="74">
        <v>2.9199510944586864</v>
      </c>
      <c r="I230" s="74"/>
      <c r="J230" s="74">
        <v>3.148288623842844</v>
      </c>
      <c r="K230" s="74">
        <v>1.6437041810416211</v>
      </c>
      <c r="L230" s="74">
        <v>0</v>
      </c>
      <c r="M230" s="74">
        <v>0.39399897463499672</v>
      </c>
      <c r="N230" s="74">
        <v>1.4245919699853373</v>
      </c>
    </row>
    <row r="231" spans="1:14" x14ac:dyDescent="0.25">
      <c r="A231" t="e">
        <f>VLOOKUP(VALUE(RIGHT(B231,4)),'Waste Lookups'!$B$1:$C$295,2,FALSE)</f>
        <v>#N/A</v>
      </c>
      <c r="B231" s="74" t="s">
        <v>1269</v>
      </c>
      <c r="C231" s="74" t="s">
        <v>1270</v>
      </c>
      <c r="D231" s="74">
        <v>2.9621515151515152</v>
      </c>
      <c r="E231" s="74">
        <v>2.2934999999999999</v>
      </c>
      <c r="F231" s="74">
        <v>0</v>
      </c>
      <c r="G231" s="74">
        <v>0</v>
      </c>
      <c r="H231" s="74">
        <v>0</v>
      </c>
      <c r="I231" s="74"/>
      <c r="J231" s="74">
        <v>3.5325770628231785</v>
      </c>
      <c r="K231" s="74">
        <v>2.735162415610108</v>
      </c>
      <c r="L231" s="74">
        <v>0</v>
      </c>
      <c r="M231" s="74">
        <v>0</v>
      </c>
      <c r="N231" s="74">
        <v>0</v>
      </c>
    </row>
    <row r="232" spans="1:14" x14ac:dyDescent="0.25">
      <c r="A232" t="e">
        <f>VLOOKUP(VALUE(RIGHT(B232,4)),'Waste Lookups'!$B$1:$C$295,2,FALSE)</f>
        <v>#N/A</v>
      </c>
      <c r="B232" s="74" t="s">
        <v>1271</v>
      </c>
      <c r="C232" s="74" t="s">
        <v>1272</v>
      </c>
      <c r="D232" s="74">
        <v>1.5692727272727274</v>
      </c>
      <c r="E232" s="74">
        <v>0.49074000000000001</v>
      </c>
      <c r="F232" s="74">
        <v>0</v>
      </c>
      <c r="G232" s="74">
        <v>0</v>
      </c>
      <c r="H232" s="74">
        <v>0</v>
      </c>
      <c r="I232" s="74"/>
      <c r="J232" s="74">
        <v>2.7871132410572832</v>
      </c>
      <c r="K232" s="74">
        <v>0.87158078270657879</v>
      </c>
      <c r="L232" s="74">
        <v>0</v>
      </c>
      <c r="M232" s="74">
        <v>0</v>
      </c>
      <c r="N232" s="74">
        <v>0</v>
      </c>
    </row>
    <row r="233" spans="1:14" x14ac:dyDescent="0.25">
      <c r="A233" t="e">
        <f>VLOOKUP(VALUE(RIGHT(B233,4)),'Waste Lookups'!$B$1:$C$295,2,FALSE)</f>
        <v>#N/A</v>
      </c>
      <c r="B233" s="74" t="s">
        <v>1273</v>
      </c>
      <c r="C233" s="74" t="s">
        <v>1274</v>
      </c>
      <c r="D233" s="74">
        <v>0</v>
      </c>
      <c r="E233" s="74">
        <v>0</v>
      </c>
      <c r="F233" s="74">
        <v>0</v>
      </c>
      <c r="G233" s="74">
        <v>0</v>
      </c>
      <c r="H233" s="74">
        <v>2.8004196410964304</v>
      </c>
      <c r="I233" s="74"/>
      <c r="J233" s="74">
        <v>0</v>
      </c>
      <c r="K233" s="74">
        <v>0</v>
      </c>
      <c r="L233" s="74">
        <v>0</v>
      </c>
      <c r="M233" s="74">
        <v>0</v>
      </c>
      <c r="N233" s="74">
        <v>2.2059464931308748</v>
      </c>
    </row>
    <row r="234" spans="1:14" x14ac:dyDescent="0.25">
      <c r="A234" t="e">
        <f>VLOOKUP(VALUE(RIGHT(B234,4)),'Waste Lookups'!$B$1:$C$295,2,FALSE)</f>
        <v>#N/A</v>
      </c>
      <c r="B234" s="74" t="s">
        <v>1275</v>
      </c>
      <c r="C234" s="74" t="s">
        <v>1276</v>
      </c>
      <c r="D234" s="74">
        <v>0</v>
      </c>
      <c r="E234" s="74">
        <v>0</v>
      </c>
      <c r="F234" s="74">
        <v>0</v>
      </c>
      <c r="G234" s="74">
        <v>0</v>
      </c>
      <c r="H234" s="74">
        <v>6.2365292841648579</v>
      </c>
      <c r="I234" s="74"/>
      <c r="J234" s="74">
        <v>0</v>
      </c>
      <c r="K234" s="74">
        <v>0</v>
      </c>
      <c r="L234" s="74">
        <v>0</v>
      </c>
      <c r="M234" s="74">
        <v>0</v>
      </c>
      <c r="N234" s="74">
        <v>2.2809370932754875</v>
      </c>
    </row>
    <row r="235" spans="1:14" x14ac:dyDescent="0.25">
      <c r="A235" t="e">
        <f>VLOOKUP(VALUE(RIGHT(B235,4)),'Waste Lookups'!$B$1:$C$295,2,FALSE)</f>
        <v>#N/A</v>
      </c>
      <c r="B235" s="74" t="s">
        <v>1277</v>
      </c>
      <c r="C235" s="74" t="s">
        <v>1278</v>
      </c>
      <c r="D235" s="74">
        <v>0</v>
      </c>
      <c r="E235" s="74">
        <v>0</v>
      </c>
      <c r="F235" s="74">
        <v>0</v>
      </c>
      <c r="G235" s="74">
        <v>0</v>
      </c>
      <c r="H235" s="74">
        <v>2.8830226779727863</v>
      </c>
      <c r="I235" s="74"/>
      <c r="J235" s="74">
        <v>0</v>
      </c>
      <c r="K235" s="74">
        <v>0</v>
      </c>
      <c r="L235" s="74">
        <v>0</v>
      </c>
      <c r="M235" s="74">
        <v>0</v>
      </c>
      <c r="N235" s="74">
        <v>4.7785856832971803</v>
      </c>
    </row>
    <row r="236" spans="1:14" x14ac:dyDescent="0.25">
      <c r="A236" t="e">
        <f>VLOOKUP(VALUE(RIGHT(B236,4)),'Waste Lookups'!$B$1:$C$295,2,FALSE)</f>
        <v>#N/A</v>
      </c>
      <c r="B236" s="74" t="s">
        <v>1279</v>
      </c>
      <c r="C236" s="74" t="s">
        <v>1280</v>
      </c>
      <c r="D236" s="74">
        <v>0</v>
      </c>
      <c r="E236" s="74">
        <v>0</v>
      </c>
      <c r="F236" s="74">
        <v>0</v>
      </c>
      <c r="G236" s="74">
        <v>0</v>
      </c>
      <c r="H236" s="74">
        <v>2.0142330901202916</v>
      </c>
      <c r="I236" s="74"/>
      <c r="J236" s="74">
        <v>0</v>
      </c>
      <c r="K236" s="74">
        <v>0</v>
      </c>
      <c r="L236" s="74">
        <v>0</v>
      </c>
      <c r="M236" s="74">
        <v>0</v>
      </c>
      <c r="N236" s="74">
        <v>0</v>
      </c>
    </row>
    <row r="237" spans="1:14" x14ac:dyDescent="0.25">
      <c r="A237" t="e">
        <f>VLOOKUP(VALUE(RIGHT(B237,4)),'Waste Lookups'!$B$1:$C$295,2,FALSE)</f>
        <v>#N/A</v>
      </c>
      <c r="B237" s="74" t="s">
        <v>1281</v>
      </c>
      <c r="C237" s="74" t="s">
        <v>1282</v>
      </c>
      <c r="D237" s="74">
        <v>5.454545454545455E-2</v>
      </c>
      <c r="E237" s="74">
        <v>0</v>
      </c>
      <c r="F237" s="74">
        <v>0</v>
      </c>
      <c r="G237" s="74">
        <v>0</v>
      </c>
      <c r="H237" s="74">
        <v>0</v>
      </c>
      <c r="I237" s="74"/>
      <c r="J237" s="74">
        <v>15.24763888888889</v>
      </c>
      <c r="K237" s="74">
        <v>0</v>
      </c>
      <c r="L237" s="74">
        <v>0</v>
      </c>
      <c r="M237" s="74">
        <v>0</v>
      </c>
      <c r="N237" s="74">
        <v>0</v>
      </c>
    </row>
    <row r="238" spans="1:14" x14ac:dyDescent="0.25">
      <c r="A238" t="str">
        <f>VLOOKUP(VALUE(RIGHT(B238,4)),'Waste Lookups'!$B$1:$C$295,2,FALSE)</f>
        <v>Billingham Health Centre</v>
      </c>
      <c r="B238" s="74" t="s">
        <v>1283</v>
      </c>
      <c r="C238" s="74" t="s">
        <v>1284</v>
      </c>
      <c r="D238" s="74">
        <v>5.454545454545455E-2</v>
      </c>
      <c r="E238" s="74">
        <v>0</v>
      </c>
      <c r="F238" s="74">
        <v>0</v>
      </c>
      <c r="G238" s="74">
        <v>0</v>
      </c>
      <c r="H238" s="74">
        <v>0</v>
      </c>
      <c r="I238" s="74"/>
      <c r="J238" s="74">
        <v>7.8074166666666658</v>
      </c>
      <c r="K238" s="74">
        <v>0</v>
      </c>
      <c r="L238" s="74">
        <v>0</v>
      </c>
      <c r="M238" s="74">
        <v>0</v>
      </c>
      <c r="N238" s="74">
        <v>0</v>
      </c>
    </row>
    <row r="239" spans="1:14" x14ac:dyDescent="0.25">
      <c r="A239" t="e">
        <f>VLOOKUP(VALUE(RIGHT(B239,4)),'Waste Lookups'!$B$1:$C$295,2,FALSE)</f>
        <v>#N/A</v>
      </c>
      <c r="B239" s="74" t="s">
        <v>1285</v>
      </c>
      <c r="C239" s="74" t="s">
        <v>1286</v>
      </c>
      <c r="D239" s="74">
        <v>5.454545454545455E-2</v>
      </c>
      <c r="E239" s="74">
        <v>5.7542399999999994</v>
      </c>
      <c r="F239" s="74">
        <v>0</v>
      </c>
      <c r="G239" s="74">
        <v>0</v>
      </c>
      <c r="H239" s="74">
        <v>0</v>
      </c>
      <c r="I239" s="74"/>
      <c r="J239" s="74">
        <v>5.3171825104396948E-2</v>
      </c>
      <c r="K239" s="74">
        <v>5.6093297862932934</v>
      </c>
      <c r="L239" s="74">
        <v>0</v>
      </c>
      <c r="M239" s="74">
        <v>0</v>
      </c>
      <c r="N239" s="74">
        <v>0</v>
      </c>
    </row>
    <row r="240" spans="1:14" x14ac:dyDescent="0.25">
      <c r="A240" t="e">
        <f>VLOOKUP(VALUE(RIGHT(B240,4)),'Waste Lookups'!$B$1:$C$295,2,FALSE)</f>
        <v>#N/A</v>
      </c>
      <c r="B240" s="74" t="s">
        <v>1287</v>
      </c>
      <c r="C240" s="74" t="s">
        <v>1288</v>
      </c>
      <c r="D240" s="74">
        <v>0</v>
      </c>
      <c r="E240" s="74">
        <v>10.866359999999998</v>
      </c>
      <c r="F240" s="74">
        <v>0</v>
      </c>
      <c r="G240" s="74">
        <v>0</v>
      </c>
      <c r="H240" s="74">
        <v>0</v>
      </c>
      <c r="I240" s="74"/>
      <c r="J240" s="74">
        <v>0</v>
      </c>
      <c r="K240" s="74">
        <v>0</v>
      </c>
      <c r="L240" s="74">
        <v>0</v>
      </c>
      <c r="M240" s="74">
        <v>0</v>
      </c>
      <c r="N240" s="74">
        <v>0</v>
      </c>
    </row>
    <row r="241" spans="1:14" x14ac:dyDescent="0.25">
      <c r="A241" t="e">
        <f>VLOOKUP(VALUE(RIGHT(B241,4)),'Waste Lookups'!$B$1:$C$295,2,FALSE)</f>
        <v>#N/A</v>
      </c>
      <c r="B241" s="74" t="s">
        <v>1289</v>
      </c>
      <c r="C241" s="74" t="s">
        <v>1290</v>
      </c>
      <c r="D241" s="74">
        <v>0</v>
      </c>
      <c r="E241" s="74">
        <v>0</v>
      </c>
      <c r="F241" s="74">
        <v>0</v>
      </c>
      <c r="G241" s="74">
        <v>0</v>
      </c>
      <c r="H241" s="74">
        <v>0</v>
      </c>
      <c r="I241" s="74"/>
      <c r="J241" s="74">
        <v>0</v>
      </c>
      <c r="K241" s="74">
        <v>0</v>
      </c>
      <c r="L241" s="74">
        <v>0</v>
      </c>
      <c r="M241" s="74">
        <v>0</v>
      </c>
      <c r="N241" s="74">
        <v>0</v>
      </c>
    </row>
    <row r="242" spans="1:14" x14ac:dyDescent="0.25">
      <c r="A242" t="e">
        <f>VLOOKUP(VALUE(RIGHT(B242,4)),'Waste Lookups'!$B$1:$C$295,2,FALSE)</f>
        <v>#N/A</v>
      </c>
      <c r="B242" s="74" t="s">
        <v>1291</v>
      </c>
      <c r="C242" s="74" t="s">
        <v>1292</v>
      </c>
      <c r="D242" s="74">
        <v>5.454545454545455E-2</v>
      </c>
      <c r="E242" s="74">
        <v>0</v>
      </c>
      <c r="F242" s="74">
        <v>0</v>
      </c>
      <c r="G242" s="74">
        <v>0</v>
      </c>
      <c r="H242" s="74">
        <v>0</v>
      </c>
      <c r="I242" s="74"/>
      <c r="J242" s="74">
        <v>0.05</v>
      </c>
      <c r="K242" s="74">
        <v>0</v>
      </c>
      <c r="L242" s="74">
        <v>0</v>
      </c>
      <c r="M242" s="74">
        <v>0</v>
      </c>
      <c r="N242" s="74">
        <v>0</v>
      </c>
    </row>
    <row r="243" spans="1:14" x14ac:dyDescent="0.25">
      <c r="A243" t="e">
        <f>VLOOKUP(VALUE(RIGHT(B243,4)),'Waste Lookups'!$B$1:$C$295,2,FALSE)</f>
        <v>#N/A</v>
      </c>
      <c r="B243" s="74" t="s">
        <v>1293</v>
      </c>
      <c r="C243" s="74" t="s">
        <v>1294</v>
      </c>
      <c r="D243" s="74">
        <v>0</v>
      </c>
      <c r="E243" s="74">
        <v>0.28799999999999992</v>
      </c>
      <c r="F243" s="74">
        <v>0</v>
      </c>
      <c r="G243" s="74">
        <v>7.6831199999999997</v>
      </c>
      <c r="H243" s="74">
        <v>0</v>
      </c>
      <c r="I243" s="74"/>
      <c r="J243" s="74">
        <v>0</v>
      </c>
      <c r="K243" s="74">
        <v>3.8486824594091015E-2</v>
      </c>
      <c r="L243" s="74">
        <v>0</v>
      </c>
      <c r="M243" s="74">
        <v>1.0267322631088633</v>
      </c>
      <c r="N243" s="74">
        <v>0</v>
      </c>
    </row>
    <row r="244" spans="1:14" x14ac:dyDescent="0.25">
      <c r="A244" t="str">
        <f>VLOOKUP(VALUE(RIGHT(B244,4)),'Waste Lookups'!$B$1:$C$295,2,FALSE)</f>
        <v>Teesdale House</v>
      </c>
      <c r="B244" s="74" t="s">
        <v>669</v>
      </c>
      <c r="C244" s="74" t="s">
        <v>1295</v>
      </c>
      <c r="D244" s="74">
        <v>0.12272727272727271</v>
      </c>
      <c r="E244" s="74">
        <v>8.179199999999998</v>
      </c>
      <c r="F244" s="74">
        <v>0</v>
      </c>
      <c r="G244" s="74">
        <v>1.91754</v>
      </c>
      <c r="H244" s="74">
        <v>14.669415894300927</v>
      </c>
      <c r="I244" s="74"/>
      <c r="J244" s="74">
        <v>0.11844297321819153</v>
      </c>
      <c r="K244" s="74">
        <v>7.8936714311174443</v>
      </c>
      <c r="L244" s="74">
        <v>0</v>
      </c>
      <c r="M244" s="74">
        <v>1.8506003907503119</v>
      </c>
      <c r="N244" s="74">
        <v>14.157319683590499</v>
      </c>
    </row>
    <row r="245" spans="1:14" x14ac:dyDescent="0.25">
      <c r="A245" t="e">
        <f>VLOOKUP(VALUE(RIGHT(B245,4)),'Waste Lookups'!$B$1:$C$295,2,FALSE)</f>
        <v>#N/A</v>
      </c>
      <c r="B245" s="74" t="s">
        <v>1296</v>
      </c>
      <c r="C245" s="74" t="s">
        <v>1297</v>
      </c>
      <c r="D245" s="74">
        <v>0</v>
      </c>
      <c r="E245" s="74">
        <v>5.5891200000000003</v>
      </c>
      <c r="F245" s="74">
        <v>0</v>
      </c>
      <c r="G245" s="74">
        <v>0</v>
      </c>
      <c r="H245" s="74">
        <v>0</v>
      </c>
      <c r="I245" s="74"/>
      <c r="J245" s="74">
        <v>0</v>
      </c>
      <c r="K245" s="74">
        <v>9.4962999999999997</v>
      </c>
      <c r="L245" s="74">
        <v>0</v>
      </c>
      <c r="M245" s="74">
        <v>0</v>
      </c>
      <c r="N245" s="74">
        <v>0</v>
      </c>
    </row>
    <row r="246" spans="1:14" x14ac:dyDescent="0.25">
      <c r="A246" t="e">
        <f>VLOOKUP(VALUE(RIGHT(B246,4)),'Waste Lookups'!$B$1:$C$295,2,FALSE)</f>
        <v>#N/A</v>
      </c>
      <c r="B246" s="74" t="s">
        <v>1298</v>
      </c>
      <c r="C246" s="74" t="s">
        <v>1299</v>
      </c>
      <c r="D246" s="74">
        <v>34.608151515151519</v>
      </c>
      <c r="E246" s="74">
        <v>5.0781599999999996</v>
      </c>
      <c r="F246" s="74">
        <v>0</v>
      </c>
      <c r="G246" s="74">
        <v>126.46575000000001</v>
      </c>
      <c r="H246" s="74">
        <v>0</v>
      </c>
      <c r="I246" s="74"/>
      <c r="J246" s="74">
        <v>24.98922623538645</v>
      </c>
      <c r="K246" s="74">
        <v>3.6667456522181854</v>
      </c>
      <c r="L246" s="74">
        <v>0</v>
      </c>
      <c r="M246" s="74">
        <v>91.316094602574978</v>
      </c>
      <c r="N246" s="74">
        <v>0</v>
      </c>
    </row>
    <row r="247" spans="1:14" x14ac:dyDescent="0.25">
      <c r="A247" t="e">
        <f>VLOOKUP(VALUE(RIGHT(B247,4)),'Waste Lookups'!$B$1:$C$295,2,FALSE)</f>
        <v>#N/A</v>
      </c>
      <c r="B247" s="74" t="s">
        <v>1300</v>
      </c>
      <c r="C247" s="74" t="s">
        <v>1301</v>
      </c>
      <c r="D247" s="74">
        <v>9.1925757575757601</v>
      </c>
      <c r="E247" s="74">
        <v>3.1586400000000001</v>
      </c>
      <c r="F247" s="74">
        <v>0</v>
      </c>
      <c r="G247" s="74">
        <v>0</v>
      </c>
      <c r="H247" s="74">
        <v>0</v>
      </c>
      <c r="I247" s="74"/>
      <c r="J247" s="74">
        <v>13.56828638680633</v>
      </c>
      <c r="K247" s="74">
        <v>4.6621679541234666</v>
      </c>
      <c r="L247" s="74">
        <v>0</v>
      </c>
      <c r="M247" s="74">
        <v>0</v>
      </c>
      <c r="N247" s="74">
        <v>0</v>
      </c>
    </row>
    <row r="248" spans="1:14" x14ac:dyDescent="0.25">
      <c r="A248" t="e">
        <f>VLOOKUP(VALUE(RIGHT(B248,4)),'Waste Lookups'!$B$1:$C$295,2,FALSE)</f>
        <v>#N/A</v>
      </c>
      <c r="B248" s="74" t="s">
        <v>1302</v>
      </c>
      <c r="C248" s="74" t="s">
        <v>1303</v>
      </c>
      <c r="D248" s="74">
        <v>0.94875757575757569</v>
      </c>
      <c r="E248" s="74">
        <v>0</v>
      </c>
      <c r="F248" s="74">
        <v>0</v>
      </c>
      <c r="G248" s="74">
        <v>0</v>
      </c>
      <c r="H248" s="74">
        <v>0.12553894695326367</v>
      </c>
      <c r="I248" s="74"/>
      <c r="J248" s="74">
        <v>5.777912615215433</v>
      </c>
      <c r="K248" s="74">
        <v>0</v>
      </c>
      <c r="L248" s="74">
        <v>0</v>
      </c>
      <c r="M248" s="74">
        <v>0</v>
      </c>
      <c r="N248" s="74">
        <v>0.76452940544156855</v>
      </c>
    </row>
    <row r="249" spans="1:14" x14ac:dyDescent="0.25">
      <c r="A249" t="str">
        <f>VLOOKUP(VALUE(RIGHT(B249,4)),'Waste Lookups'!$B$1:$C$295,2,FALSE)</f>
        <v>North Ormsby Health Village</v>
      </c>
      <c r="B249" s="74" t="s">
        <v>766</v>
      </c>
      <c r="C249" s="74" t="s">
        <v>1304</v>
      </c>
      <c r="D249" s="74">
        <v>48.402090909090909</v>
      </c>
      <c r="E249" s="74">
        <v>0</v>
      </c>
      <c r="F249" s="74">
        <v>0</v>
      </c>
      <c r="G249" s="74">
        <v>0</v>
      </c>
      <c r="H249" s="74">
        <v>35.095777558666931</v>
      </c>
      <c r="I249" s="74"/>
      <c r="J249" s="74">
        <v>59.293652972547797</v>
      </c>
      <c r="K249" s="74">
        <v>0</v>
      </c>
      <c r="L249" s="74">
        <v>0</v>
      </c>
      <c r="M249" s="74">
        <v>0</v>
      </c>
      <c r="N249" s="74">
        <v>42.993119021940458</v>
      </c>
    </row>
    <row r="250" spans="1:14" x14ac:dyDescent="0.25">
      <c r="A250" t="e">
        <f>VLOOKUP(VALUE(RIGHT(B250,4)),'Waste Lookups'!$B$1:$C$295,2,FALSE)</f>
        <v>#N/A</v>
      </c>
      <c r="B250" s="74" t="s">
        <v>1305</v>
      </c>
      <c r="C250" s="74" t="s">
        <v>1306</v>
      </c>
      <c r="D250" s="74">
        <v>1.8181818181818181E-2</v>
      </c>
      <c r="E250" s="74">
        <v>0</v>
      </c>
      <c r="F250" s="74">
        <v>0</v>
      </c>
      <c r="G250" s="74">
        <v>0</v>
      </c>
      <c r="H250" s="74">
        <v>0</v>
      </c>
      <c r="I250" s="74"/>
      <c r="J250" s="74">
        <v>0</v>
      </c>
      <c r="K250" s="74">
        <v>0</v>
      </c>
      <c r="L250" s="74">
        <v>0</v>
      </c>
      <c r="M250" s="74">
        <v>0</v>
      </c>
      <c r="N250" s="74">
        <v>0</v>
      </c>
    </row>
    <row r="251" spans="1:14" x14ac:dyDescent="0.25">
      <c r="A251" t="e">
        <f>VLOOKUP(VALUE(RIGHT(B251,4)),'Waste Lookups'!$B$1:$C$295,2,FALSE)</f>
        <v>#N/A</v>
      </c>
      <c r="B251" s="74" t="s">
        <v>1307</v>
      </c>
      <c r="C251" s="74" t="s">
        <v>1308</v>
      </c>
      <c r="D251" s="74">
        <v>1.8181818181818181E-2</v>
      </c>
      <c r="E251" s="74">
        <v>0</v>
      </c>
      <c r="F251" s="74">
        <v>0</v>
      </c>
      <c r="G251" s="74">
        <v>0</v>
      </c>
      <c r="H251" s="74">
        <v>34.413882863340568</v>
      </c>
      <c r="I251" s="74"/>
      <c r="J251" s="74">
        <v>3.8477570782697925E-5</v>
      </c>
      <c r="K251" s="74">
        <v>0</v>
      </c>
      <c r="L251" s="74">
        <v>0</v>
      </c>
      <c r="M251" s="74">
        <v>0</v>
      </c>
      <c r="N251" s="74">
        <v>7.2828943757991385E-2</v>
      </c>
    </row>
    <row r="252" spans="1:14" x14ac:dyDescent="0.25">
      <c r="A252" t="e">
        <f>VLOOKUP(VALUE(RIGHT(B252,4)),'Waste Lookups'!$B$1:$C$295,2,FALSE)</f>
        <v>#N/A</v>
      </c>
      <c r="B252" s="74" t="s">
        <v>1309</v>
      </c>
      <c r="C252" s="74" t="s">
        <v>1310</v>
      </c>
      <c r="D252" s="74">
        <v>6.4726060606060605</v>
      </c>
      <c r="E252" s="74">
        <v>0</v>
      </c>
      <c r="F252" s="74">
        <v>0</v>
      </c>
      <c r="G252" s="74">
        <v>0</v>
      </c>
      <c r="H252" s="74">
        <v>0</v>
      </c>
      <c r="I252" s="74"/>
      <c r="J252" s="74">
        <v>0.75555555555555554</v>
      </c>
      <c r="K252" s="74">
        <v>0</v>
      </c>
      <c r="L252" s="74">
        <v>0</v>
      </c>
      <c r="M252" s="74">
        <v>0</v>
      </c>
      <c r="N252" s="74">
        <v>0</v>
      </c>
    </row>
    <row r="253" spans="1:14" x14ac:dyDescent="0.25">
      <c r="A253" t="e">
        <f>VLOOKUP(VALUE(RIGHT(B253,4)),'Waste Lookups'!$B$1:$C$295,2,FALSE)</f>
        <v>#N/A</v>
      </c>
      <c r="B253" s="74" t="s">
        <v>1311</v>
      </c>
      <c r="C253" s="74" t="s">
        <v>1312</v>
      </c>
      <c r="D253" s="74">
        <v>0</v>
      </c>
      <c r="E253" s="74">
        <v>0.29052000000000006</v>
      </c>
      <c r="F253" s="74">
        <v>0</v>
      </c>
      <c r="G253" s="74">
        <v>0</v>
      </c>
      <c r="H253" s="74">
        <v>0</v>
      </c>
      <c r="I253" s="74"/>
      <c r="J253" s="74">
        <v>0</v>
      </c>
      <c r="K253" s="74">
        <v>0</v>
      </c>
      <c r="L253" s="74">
        <v>0</v>
      </c>
      <c r="M253" s="74">
        <v>0</v>
      </c>
      <c r="N253" s="74">
        <v>0</v>
      </c>
    </row>
    <row r="254" spans="1:14" x14ac:dyDescent="0.25">
      <c r="A254" t="str">
        <f>VLOOKUP(VALUE(RIGHT(B254,4)),'Waste Lookups'!$B$1:$C$295,2,FALSE)</f>
        <v>Riverside House - Unit 17/18 now 20 for CSU</v>
      </c>
      <c r="B254" s="74" t="s">
        <v>668</v>
      </c>
      <c r="C254" s="74" t="s">
        <v>1313</v>
      </c>
      <c r="D254" s="74">
        <v>0</v>
      </c>
      <c r="E254" s="74">
        <v>0</v>
      </c>
      <c r="F254" s="74">
        <v>0</v>
      </c>
      <c r="G254" s="74">
        <v>0.14579999999999999</v>
      </c>
      <c r="H254" s="74">
        <v>0.77434825478209424</v>
      </c>
      <c r="I254" s="74"/>
      <c r="J254" s="74">
        <v>0</v>
      </c>
      <c r="K254" s="74">
        <v>0</v>
      </c>
      <c r="L254" s="74">
        <v>0</v>
      </c>
      <c r="M254" s="74">
        <v>4.6348982506527401</v>
      </c>
      <c r="N254" s="74">
        <v>24.616086224180602</v>
      </c>
    </row>
    <row r="255" spans="1:14" x14ac:dyDescent="0.25">
      <c r="A255" t="e">
        <f>VLOOKUP(VALUE(RIGHT(B255,4)),'Waste Lookups'!$B$1:$C$295,2,FALSE)</f>
        <v>#N/A</v>
      </c>
      <c r="B255" s="74" t="s">
        <v>1314</v>
      </c>
      <c r="C255" s="74" t="s">
        <v>1315</v>
      </c>
      <c r="D255" s="74">
        <v>0</v>
      </c>
      <c r="E255" s="74">
        <v>0.23952000000000001</v>
      </c>
      <c r="F255" s="74">
        <v>0</v>
      </c>
      <c r="G255" s="74">
        <v>13.639410000000002</v>
      </c>
      <c r="H255" s="74">
        <v>2.5129875764149081</v>
      </c>
      <c r="I255" s="74"/>
      <c r="J255" s="74">
        <v>0</v>
      </c>
      <c r="K255" s="74">
        <v>0.21622470468057864</v>
      </c>
      <c r="L255" s="74">
        <v>0</v>
      </c>
      <c r="M255" s="74">
        <v>12.312864893400683</v>
      </c>
      <c r="N255" s="74">
        <v>2.2685788100211948</v>
      </c>
    </row>
    <row r="256" spans="1:14" x14ac:dyDescent="0.25">
      <c r="A256" t="e">
        <f>VLOOKUP(VALUE(RIGHT(B256,4)),'Waste Lookups'!$B$1:$C$295,2,FALSE)</f>
        <v>#N/A</v>
      </c>
      <c r="B256" s="74" t="s">
        <v>1316</v>
      </c>
      <c r="C256" s="74" t="s">
        <v>1317</v>
      </c>
      <c r="D256" s="74">
        <v>23.216545454545457</v>
      </c>
      <c r="E256" s="74">
        <v>18.306240000000003</v>
      </c>
      <c r="F256" s="74">
        <v>0</v>
      </c>
      <c r="G256" s="74">
        <v>0</v>
      </c>
      <c r="H256" s="74">
        <v>0</v>
      </c>
      <c r="I256" s="74"/>
      <c r="J256" s="74">
        <v>20.667585487514586</v>
      </c>
      <c r="K256" s="74">
        <v>16.296385734721117</v>
      </c>
      <c r="L256" s="74">
        <v>0</v>
      </c>
      <c r="M256" s="74">
        <v>0</v>
      </c>
      <c r="N256" s="74">
        <v>0</v>
      </c>
    </row>
    <row r="257" spans="1:14" x14ac:dyDescent="0.25">
      <c r="A257" t="e">
        <f>VLOOKUP(VALUE(RIGHT(B257,4)),'Waste Lookups'!$B$1:$C$295,2,FALSE)</f>
        <v>#N/A</v>
      </c>
      <c r="B257" s="74" t="s">
        <v>1318</v>
      </c>
      <c r="C257" s="74" t="s">
        <v>1319</v>
      </c>
      <c r="D257" s="74">
        <v>12.568878787878786</v>
      </c>
      <c r="E257" s="74">
        <v>9.470460000000001</v>
      </c>
      <c r="F257" s="74">
        <v>0</v>
      </c>
      <c r="G257" s="74">
        <v>0</v>
      </c>
      <c r="H257" s="74">
        <v>0</v>
      </c>
      <c r="I257" s="74"/>
      <c r="J257" s="74">
        <v>10.434625160230103</v>
      </c>
      <c r="K257" s="74">
        <v>7.8623321827443977</v>
      </c>
      <c r="L257" s="74">
        <v>0</v>
      </c>
      <c r="M257" s="74">
        <v>0</v>
      </c>
      <c r="N257" s="74">
        <v>0</v>
      </c>
    </row>
    <row r="258" spans="1:14" x14ac:dyDescent="0.25">
      <c r="A258" t="e">
        <f>VLOOKUP(VALUE(RIGHT(B258,4)),'Waste Lookups'!$B$1:$C$295,2,FALSE)</f>
        <v>#N/A</v>
      </c>
      <c r="B258" s="74" t="s">
        <v>1320</v>
      </c>
      <c r="C258" s="74" t="s">
        <v>1321</v>
      </c>
      <c r="D258" s="74">
        <v>0</v>
      </c>
      <c r="E258" s="74">
        <v>0</v>
      </c>
      <c r="F258" s="74">
        <v>0</v>
      </c>
      <c r="G258" s="74">
        <v>0</v>
      </c>
      <c r="H258" s="74">
        <v>0</v>
      </c>
      <c r="I258" s="74"/>
      <c r="J258" s="74">
        <v>0</v>
      </c>
      <c r="K258" s="74">
        <v>0</v>
      </c>
      <c r="L258" s="74">
        <v>0</v>
      </c>
      <c r="M258" s="74">
        <v>0</v>
      </c>
      <c r="N258" s="74">
        <v>0</v>
      </c>
    </row>
    <row r="259" spans="1:14" x14ac:dyDescent="0.25">
      <c r="A259" t="e">
        <f>VLOOKUP(VALUE(RIGHT(B259,4)),'Waste Lookups'!$B$1:$C$295,2,FALSE)</f>
        <v>#N/A</v>
      </c>
      <c r="B259" s="74" t="s">
        <v>1322</v>
      </c>
      <c r="C259" s="74" t="s">
        <v>1323</v>
      </c>
      <c r="D259" s="74">
        <v>5.454545454545455E-2</v>
      </c>
      <c r="E259" s="74">
        <v>0</v>
      </c>
      <c r="F259" s="74">
        <v>0</v>
      </c>
      <c r="G259" s="74">
        <v>0</v>
      </c>
      <c r="H259" s="74">
        <v>0</v>
      </c>
      <c r="I259" s="74"/>
      <c r="J259" s="74">
        <v>0.05</v>
      </c>
      <c r="K259" s="74">
        <v>0</v>
      </c>
      <c r="L259" s="74">
        <v>0</v>
      </c>
      <c r="M259" s="74">
        <v>0</v>
      </c>
      <c r="N259" s="74">
        <v>0</v>
      </c>
    </row>
    <row r="260" spans="1:14" x14ac:dyDescent="0.25">
      <c r="A260" t="e">
        <f>VLOOKUP(VALUE(RIGHT(B260,4)),'Waste Lookups'!$B$1:$C$295,2,FALSE)</f>
        <v>#N/A</v>
      </c>
      <c r="B260" s="74" t="s">
        <v>1324</v>
      </c>
      <c r="C260" s="74" t="s">
        <v>1325</v>
      </c>
      <c r="D260" s="74">
        <v>21.558818181818182</v>
      </c>
      <c r="E260" s="74">
        <v>0</v>
      </c>
      <c r="F260" s="74">
        <v>0</v>
      </c>
      <c r="G260" s="74">
        <v>0</v>
      </c>
      <c r="H260" s="74">
        <v>0</v>
      </c>
      <c r="I260" s="74"/>
      <c r="J260" s="74">
        <v>38.121083333333338</v>
      </c>
      <c r="K260" s="74">
        <v>0</v>
      </c>
      <c r="L260" s="74">
        <v>0</v>
      </c>
      <c r="M260" s="74">
        <v>0</v>
      </c>
      <c r="N260" s="74">
        <v>0</v>
      </c>
    </row>
    <row r="261" spans="1:14" x14ac:dyDescent="0.25">
      <c r="A261" t="e">
        <f>VLOOKUP(VALUE(RIGHT(B261,4)),'Waste Lookups'!$B$1:$C$295,2,FALSE)</f>
        <v>#N/A</v>
      </c>
      <c r="B261" s="74" t="s">
        <v>1326</v>
      </c>
      <c r="C261" s="74" t="s">
        <v>1327</v>
      </c>
      <c r="D261" s="74">
        <v>2.2382727272727276</v>
      </c>
      <c r="E261" s="74">
        <v>0</v>
      </c>
      <c r="F261" s="74">
        <v>0</v>
      </c>
      <c r="G261" s="74">
        <v>0</v>
      </c>
      <c r="H261" s="74">
        <v>0</v>
      </c>
      <c r="I261" s="74"/>
      <c r="J261" s="74">
        <v>7.39238888888889</v>
      </c>
      <c r="K261" s="74">
        <v>0</v>
      </c>
      <c r="L261" s="74">
        <v>0</v>
      </c>
      <c r="M261" s="74">
        <v>0</v>
      </c>
      <c r="N261" s="74">
        <v>0</v>
      </c>
    </row>
    <row r="262" spans="1:14" x14ac:dyDescent="0.25">
      <c r="A262" t="e">
        <f>VLOOKUP(VALUE(RIGHT(B262,4)),'Waste Lookups'!$B$1:$C$295,2,FALSE)</f>
        <v>#N/A</v>
      </c>
      <c r="B262" s="74" t="s">
        <v>1328</v>
      </c>
      <c r="C262" s="74" t="s">
        <v>1329</v>
      </c>
      <c r="D262" s="74">
        <v>3.9120303030303032</v>
      </c>
      <c r="E262" s="74">
        <v>0</v>
      </c>
      <c r="F262" s="74">
        <v>0</v>
      </c>
      <c r="G262" s="74">
        <v>0</v>
      </c>
      <c r="H262" s="74">
        <v>0</v>
      </c>
      <c r="I262" s="74"/>
      <c r="J262" s="74">
        <v>5.291666666666667</v>
      </c>
      <c r="K262" s="74">
        <v>0</v>
      </c>
      <c r="L262" s="74">
        <v>0</v>
      </c>
      <c r="M262" s="74">
        <v>0</v>
      </c>
      <c r="N262" s="74">
        <v>0</v>
      </c>
    </row>
    <row r="263" spans="1:14" x14ac:dyDescent="0.25">
      <c r="A263" t="e">
        <f>VLOOKUP(VALUE(RIGHT(B263,4)),'Waste Lookups'!$B$1:$C$295,2,FALSE)</f>
        <v>#N/A</v>
      </c>
      <c r="B263" s="74" t="s">
        <v>1330</v>
      </c>
      <c r="C263" s="74" t="s">
        <v>1331</v>
      </c>
      <c r="D263" s="74">
        <v>14.4669696969697</v>
      </c>
      <c r="E263" s="74">
        <v>0</v>
      </c>
      <c r="F263" s="74">
        <v>0</v>
      </c>
      <c r="G263" s="74">
        <v>0</v>
      </c>
      <c r="H263" s="74">
        <v>0</v>
      </c>
      <c r="I263" s="74"/>
      <c r="J263" s="74">
        <v>54.791583333333328</v>
      </c>
      <c r="K263" s="74">
        <v>0</v>
      </c>
      <c r="L263" s="74">
        <v>0</v>
      </c>
      <c r="M263" s="74">
        <v>0</v>
      </c>
      <c r="N263" s="74">
        <v>0</v>
      </c>
    </row>
    <row r="264" spans="1:14" x14ac:dyDescent="0.25">
      <c r="A264" t="e">
        <f>VLOOKUP(VALUE(RIGHT(B264,4)),'Waste Lookups'!$B$1:$C$295,2,FALSE)</f>
        <v>#N/A</v>
      </c>
      <c r="B264" s="74" t="s">
        <v>1332</v>
      </c>
      <c r="C264" s="74" t="s">
        <v>1333</v>
      </c>
      <c r="D264" s="74">
        <v>2.284787878787879</v>
      </c>
      <c r="E264" s="74">
        <v>0</v>
      </c>
      <c r="F264" s="74">
        <v>0</v>
      </c>
      <c r="G264" s="74">
        <v>0</v>
      </c>
      <c r="H264" s="74">
        <v>0</v>
      </c>
      <c r="I264" s="74"/>
      <c r="J264" s="74">
        <v>4.1480000000000006</v>
      </c>
      <c r="K264" s="74">
        <v>0</v>
      </c>
      <c r="L264" s="74">
        <v>0</v>
      </c>
      <c r="M264" s="74">
        <v>0</v>
      </c>
      <c r="N264" s="74">
        <v>0</v>
      </c>
    </row>
    <row r="265" spans="1:14" x14ac:dyDescent="0.25">
      <c r="A265" t="e">
        <f>VLOOKUP(VALUE(RIGHT(B265,4)),'Waste Lookups'!$B$1:$C$295,2,FALSE)</f>
        <v>#N/A</v>
      </c>
      <c r="B265" s="74" t="s">
        <v>1334</v>
      </c>
      <c r="C265" s="74" t="s">
        <v>1335</v>
      </c>
      <c r="D265" s="74">
        <v>0.44918181818181813</v>
      </c>
      <c r="E265" s="74">
        <v>0</v>
      </c>
      <c r="F265" s="74">
        <v>0</v>
      </c>
      <c r="G265" s="74">
        <v>0</v>
      </c>
      <c r="H265" s="74">
        <v>0</v>
      </c>
      <c r="I265" s="74"/>
      <c r="J265" s="74">
        <v>1.6933333333333336</v>
      </c>
      <c r="K265" s="74">
        <v>0</v>
      </c>
      <c r="L265" s="74">
        <v>0</v>
      </c>
      <c r="M265" s="74">
        <v>0</v>
      </c>
      <c r="N265" s="74">
        <v>0</v>
      </c>
    </row>
    <row r="266" spans="1:14" x14ac:dyDescent="0.25">
      <c r="A266" t="e">
        <f>VLOOKUP(VALUE(RIGHT(B266,4)),'Waste Lookups'!$B$1:$C$295,2,FALSE)</f>
        <v>#N/A</v>
      </c>
      <c r="B266" s="74" t="s">
        <v>1336</v>
      </c>
      <c r="C266" s="74" t="s">
        <v>1337</v>
      </c>
      <c r="D266" s="74">
        <v>2.1593939393939396</v>
      </c>
      <c r="E266" s="74">
        <v>0</v>
      </c>
      <c r="F266" s="74">
        <v>0</v>
      </c>
      <c r="G266" s="74">
        <v>0</v>
      </c>
      <c r="H266" s="74">
        <v>0</v>
      </c>
      <c r="I266" s="74"/>
      <c r="J266" s="74">
        <v>2.725888888888889</v>
      </c>
      <c r="K266" s="74">
        <v>0</v>
      </c>
      <c r="L266" s="74">
        <v>0</v>
      </c>
      <c r="M266" s="74">
        <v>0</v>
      </c>
      <c r="N266" s="74">
        <v>0</v>
      </c>
    </row>
    <row r="267" spans="1:14" x14ac:dyDescent="0.25">
      <c r="A267" t="e">
        <f>VLOOKUP(VALUE(RIGHT(B267,4)),'Waste Lookups'!$B$1:$C$295,2,FALSE)</f>
        <v>#N/A</v>
      </c>
      <c r="B267" s="74" t="s">
        <v>1338</v>
      </c>
      <c r="C267" s="74" t="s">
        <v>1339</v>
      </c>
      <c r="D267" s="74">
        <v>3.0309090909090917</v>
      </c>
      <c r="E267" s="74">
        <v>0</v>
      </c>
      <c r="F267" s="74">
        <v>0</v>
      </c>
      <c r="G267" s="74">
        <v>0</v>
      </c>
      <c r="H267" s="74">
        <v>0</v>
      </c>
      <c r="I267" s="74"/>
      <c r="J267" s="74">
        <v>3.2035277777777775</v>
      </c>
      <c r="K267" s="74">
        <v>0</v>
      </c>
      <c r="L267" s="74">
        <v>0</v>
      </c>
      <c r="M267" s="74">
        <v>0</v>
      </c>
      <c r="N267" s="74">
        <v>0</v>
      </c>
    </row>
    <row r="268" spans="1:14" x14ac:dyDescent="0.25">
      <c r="A268" t="e">
        <f>VLOOKUP(VALUE(RIGHT(B268,4)),'Waste Lookups'!$B$1:$C$295,2,FALSE)</f>
        <v>#N/A</v>
      </c>
      <c r="B268" s="74" t="s">
        <v>1340</v>
      </c>
      <c r="C268" s="74" t="s">
        <v>1341</v>
      </c>
      <c r="D268" s="74">
        <v>5.454545454545455E-2</v>
      </c>
      <c r="E268" s="74">
        <v>0</v>
      </c>
      <c r="F268" s="74">
        <v>0</v>
      </c>
      <c r="G268" s="74">
        <v>0</v>
      </c>
      <c r="H268" s="74">
        <v>0</v>
      </c>
      <c r="I268" s="74"/>
      <c r="J268" s="74">
        <v>0.05</v>
      </c>
      <c r="K268" s="74">
        <v>0</v>
      </c>
      <c r="L268" s="74">
        <v>0</v>
      </c>
      <c r="M268" s="74">
        <v>0</v>
      </c>
      <c r="N268" s="74">
        <v>0</v>
      </c>
    </row>
    <row r="269" spans="1:14" x14ac:dyDescent="0.25">
      <c r="A269" t="e">
        <f>VLOOKUP(VALUE(RIGHT(B269,4)),'Waste Lookups'!$B$1:$C$295,2,FALSE)</f>
        <v>#N/A</v>
      </c>
      <c r="B269" s="74" t="s">
        <v>1342</v>
      </c>
      <c r="C269" s="74" t="s">
        <v>1343</v>
      </c>
      <c r="D269" s="74">
        <v>30.541333333333331</v>
      </c>
      <c r="E269" s="74">
        <v>78.441179999999989</v>
      </c>
      <c r="F269" s="74">
        <v>0</v>
      </c>
      <c r="G269" s="74">
        <v>38.976030000000002</v>
      </c>
      <c r="H269" s="74">
        <v>16.810115559061327</v>
      </c>
      <c r="I269" s="74"/>
      <c r="J269" s="74">
        <v>33.127670220985841</v>
      </c>
      <c r="K269" s="74">
        <v>85.083827690943082</v>
      </c>
      <c r="L269" s="74">
        <v>0</v>
      </c>
      <c r="M269" s="74">
        <v>42.276643729696929</v>
      </c>
      <c r="N269" s="74">
        <v>18.233649413382299</v>
      </c>
    </row>
    <row r="270" spans="1:14" x14ac:dyDescent="0.25">
      <c r="A270" t="e">
        <f>VLOOKUP(VALUE(RIGHT(B270,4)),'Waste Lookups'!$B$1:$C$295,2,FALSE)</f>
        <v>#N/A</v>
      </c>
      <c r="B270" s="74" t="s">
        <v>1344</v>
      </c>
      <c r="C270" s="74" t="s">
        <v>1345</v>
      </c>
      <c r="D270" s="74">
        <v>9.5272727272727273E-2</v>
      </c>
      <c r="E270" s="74">
        <v>0</v>
      </c>
      <c r="F270" s="74">
        <v>0</v>
      </c>
      <c r="G270" s="74">
        <v>0</v>
      </c>
      <c r="H270" s="74">
        <v>0</v>
      </c>
      <c r="I270" s="74"/>
      <c r="J270" s="74">
        <v>0</v>
      </c>
      <c r="K270" s="74">
        <v>0</v>
      </c>
      <c r="L270" s="74">
        <v>0</v>
      </c>
      <c r="M270" s="74">
        <v>0</v>
      </c>
      <c r="N270" s="74">
        <v>0</v>
      </c>
    </row>
    <row r="271" spans="1:14" x14ac:dyDescent="0.25">
      <c r="A271" t="e">
        <f>VLOOKUP(VALUE(RIGHT(B271,4)),'Waste Lookups'!$B$1:$C$295,2,FALSE)</f>
        <v>#N/A</v>
      </c>
      <c r="B271" s="74" t="s">
        <v>1346</v>
      </c>
      <c r="C271" s="74" t="s">
        <v>1347</v>
      </c>
      <c r="D271" s="74">
        <v>0</v>
      </c>
      <c r="E271" s="74">
        <v>7.0450200000000001</v>
      </c>
      <c r="F271" s="74">
        <v>0</v>
      </c>
      <c r="G271" s="74">
        <v>0</v>
      </c>
      <c r="H271" s="74">
        <v>1.1679274304870835</v>
      </c>
      <c r="I271" s="74"/>
      <c r="J271" s="74">
        <v>0</v>
      </c>
      <c r="K271" s="74">
        <v>0.18854367184078633</v>
      </c>
      <c r="L271" s="74">
        <v>0</v>
      </c>
      <c r="M271" s="74">
        <v>0</v>
      </c>
      <c r="N271" s="74">
        <v>3.1256877366935713E-2</v>
      </c>
    </row>
    <row r="272" spans="1:14" x14ac:dyDescent="0.25">
      <c r="A272" t="e">
        <f>VLOOKUP(VALUE(RIGHT(B272,4)),'Waste Lookups'!$B$1:$C$295,2,FALSE)</f>
        <v>#N/A</v>
      </c>
      <c r="B272" s="74" t="s">
        <v>1348</v>
      </c>
      <c r="C272" s="74" t="s">
        <v>1349</v>
      </c>
      <c r="D272" s="74">
        <v>1.480909090909091</v>
      </c>
      <c r="E272" s="74">
        <v>2.6812199999999997</v>
      </c>
      <c r="F272" s="74">
        <v>0</v>
      </c>
      <c r="G272" s="74">
        <v>0</v>
      </c>
      <c r="H272" s="74">
        <v>0.86331216722539916</v>
      </c>
      <c r="I272" s="74"/>
      <c r="J272" s="74">
        <v>1.0980529570914492</v>
      </c>
      <c r="K272" s="74">
        <v>1.9880501562762487</v>
      </c>
      <c r="L272" s="74">
        <v>0</v>
      </c>
      <c r="M272" s="74">
        <v>0</v>
      </c>
      <c r="N272" s="74">
        <v>0.64012199258831504</v>
      </c>
    </row>
    <row r="273" spans="1:14" x14ac:dyDescent="0.25">
      <c r="A273" t="str">
        <f>VLOOKUP(VALUE(RIGHT(B273,4)),'Waste Lookups'!$B$1:$C$295,2,FALSE)</f>
        <v>Alexandra Park Health Centre</v>
      </c>
      <c r="B273" s="74" t="s">
        <v>680</v>
      </c>
      <c r="C273" s="74" t="s">
        <v>1350</v>
      </c>
      <c r="D273" s="74">
        <v>1.8166363636363638</v>
      </c>
      <c r="E273" s="74">
        <v>4.8651599999999995</v>
      </c>
      <c r="F273" s="74">
        <v>0</v>
      </c>
      <c r="G273" s="74">
        <v>0</v>
      </c>
      <c r="H273" s="74">
        <v>0.64598225202129755</v>
      </c>
      <c r="I273" s="74"/>
      <c r="J273" s="74">
        <v>1.1716092162997322</v>
      </c>
      <c r="K273" s="74">
        <v>3.1377035101086355</v>
      </c>
      <c r="L273" s="74">
        <v>0</v>
      </c>
      <c r="M273" s="74">
        <v>0</v>
      </c>
      <c r="N273" s="74">
        <v>0.41661544114378696</v>
      </c>
    </row>
    <row r="274" spans="1:14" x14ac:dyDescent="0.25">
      <c r="A274" t="e">
        <f>VLOOKUP(VALUE(RIGHT(B274,4)),'Waste Lookups'!$B$1:$C$295,2,FALSE)</f>
        <v>#N/A</v>
      </c>
      <c r="B274" s="74" t="s">
        <v>1351</v>
      </c>
      <c r="C274" s="74" t="s">
        <v>1352</v>
      </c>
      <c r="D274" s="74">
        <v>0.9350303030303031</v>
      </c>
      <c r="E274" s="74">
        <v>2.4765000000000001</v>
      </c>
      <c r="F274" s="74">
        <v>0</v>
      </c>
      <c r="G274" s="74">
        <v>0</v>
      </c>
      <c r="H274" s="74">
        <v>0.86684598698481552</v>
      </c>
      <c r="I274" s="74"/>
      <c r="J274" s="74">
        <v>0.85097387608304731</v>
      </c>
      <c r="K274" s="74">
        <v>2.253870058852379</v>
      </c>
      <c r="L274" s="74">
        <v>0</v>
      </c>
      <c r="M274" s="74">
        <v>0</v>
      </c>
      <c r="N274" s="74">
        <v>0.78891912606558223</v>
      </c>
    </row>
    <row r="275" spans="1:14" x14ac:dyDescent="0.25">
      <c r="A275" t="e">
        <f>VLOOKUP(VALUE(RIGHT(B275,4)),'Waste Lookups'!$B$1:$C$295,2,FALSE)</f>
        <v>#N/A</v>
      </c>
      <c r="B275" s="74" t="s">
        <v>1353</v>
      </c>
      <c r="C275" s="74" t="s">
        <v>1354</v>
      </c>
      <c r="D275" s="74">
        <v>0</v>
      </c>
      <c r="E275" s="74">
        <v>1.8041999999999998</v>
      </c>
      <c r="F275" s="74">
        <v>0</v>
      </c>
      <c r="G275" s="74">
        <v>0</v>
      </c>
      <c r="H275" s="74">
        <v>0</v>
      </c>
      <c r="I275" s="74"/>
      <c r="J275" s="74">
        <v>0</v>
      </c>
      <c r="K275" s="74">
        <v>0</v>
      </c>
      <c r="L275" s="74">
        <v>0</v>
      </c>
      <c r="M275" s="74">
        <v>0</v>
      </c>
      <c r="N275" s="74">
        <v>0</v>
      </c>
    </row>
    <row r="276" spans="1:14" x14ac:dyDescent="0.25">
      <c r="A276" t="str">
        <f>VLOOKUP(VALUE(RIGHT(B276,4)),'Waste Lookups'!$B$1:$C$295,2,FALSE)</f>
        <v>Burnage Health Centre</v>
      </c>
      <c r="B276" s="74" t="s">
        <v>681</v>
      </c>
      <c r="C276" s="74" t="s">
        <v>1355</v>
      </c>
      <c r="D276" s="74">
        <v>1.9830303030303029</v>
      </c>
      <c r="E276" s="74">
        <v>5.0813399999999991</v>
      </c>
      <c r="F276" s="74">
        <v>0</v>
      </c>
      <c r="G276" s="74">
        <v>0</v>
      </c>
      <c r="H276" s="74">
        <v>0.64598225202129755</v>
      </c>
      <c r="I276" s="74"/>
      <c r="J276" s="74">
        <v>1.1593735538115308</v>
      </c>
      <c r="K276" s="74">
        <v>2.9707923297603078</v>
      </c>
      <c r="L276" s="74">
        <v>0</v>
      </c>
      <c r="M276" s="74">
        <v>0</v>
      </c>
      <c r="N276" s="74">
        <v>0.37767185810557086</v>
      </c>
    </row>
    <row r="277" spans="1:14" x14ac:dyDescent="0.25">
      <c r="A277" t="str">
        <f>VLOOKUP(VALUE(RIGHT(B277,4)),'Waste Lookups'!$B$1:$C$295,2,FALSE)</f>
        <v>Charlestown Road Health Centre</v>
      </c>
      <c r="B277" s="74" t="s">
        <v>682</v>
      </c>
      <c r="C277" s="74" t="s">
        <v>1356</v>
      </c>
      <c r="D277" s="74">
        <v>0.60818181818181816</v>
      </c>
      <c r="E277" s="74">
        <v>3.2216400000000003</v>
      </c>
      <c r="F277" s="74">
        <v>0</v>
      </c>
      <c r="G277" s="74">
        <v>0</v>
      </c>
      <c r="H277" s="74">
        <v>0.64598225202129755</v>
      </c>
      <c r="I277" s="74"/>
      <c r="J277" s="74">
        <v>0.61091751708376707</v>
      </c>
      <c r="K277" s="74">
        <v>3.2361314509888222</v>
      </c>
      <c r="L277" s="74">
        <v>0</v>
      </c>
      <c r="M277" s="74">
        <v>0</v>
      </c>
      <c r="N277" s="74">
        <v>0.64888798330872122</v>
      </c>
    </row>
    <row r="278" spans="1:14" x14ac:dyDescent="0.25">
      <c r="A278" t="e">
        <f>VLOOKUP(VALUE(RIGHT(B278,4)),'Waste Lookups'!$B$1:$C$295,2,FALSE)</f>
        <v>#N/A</v>
      </c>
      <c r="B278" s="74" t="s">
        <v>1357</v>
      </c>
      <c r="C278" s="74" t="s">
        <v>1358</v>
      </c>
      <c r="D278" s="74">
        <v>2.4530606060606059</v>
      </c>
      <c r="E278" s="74">
        <v>6.1732199999999997</v>
      </c>
      <c r="F278" s="74">
        <v>0</v>
      </c>
      <c r="G278" s="74">
        <v>0</v>
      </c>
      <c r="H278" s="74">
        <v>1.3326917767698678</v>
      </c>
      <c r="I278" s="74"/>
      <c r="J278" s="74">
        <v>1.087691116687227</v>
      </c>
      <c r="K278" s="74">
        <v>2.7372159247785124</v>
      </c>
      <c r="L278" s="74">
        <v>0</v>
      </c>
      <c r="M278" s="74">
        <v>0</v>
      </c>
      <c r="N278" s="74">
        <v>0.59091773081080101</v>
      </c>
    </row>
    <row r="279" spans="1:14" x14ac:dyDescent="0.25">
      <c r="A279" t="e">
        <f>VLOOKUP(VALUE(RIGHT(B279,4)),'Waste Lookups'!$B$1:$C$295,2,FALSE)</f>
        <v>#N/A</v>
      </c>
      <c r="B279" s="74" t="s">
        <v>1359</v>
      </c>
      <c r="C279" s="74" t="s">
        <v>1360</v>
      </c>
      <c r="D279" s="74">
        <v>0</v>
      </c>
      <c r="E279" s="74">
        <v>0.43025999999999992</v>
      </c>
      <c r="F279" s="74">
        <v>0</v>
      </c>
      <c r="G279" s="74">
        <v>0</v>
      </c>
      <c r="H279" s="74">
        <v>1.3251824097811082</v>
      </c>
      <c r="I279" s="74"/>
      <c r="J279" s="74">
        <v>0</v>
      </c>
      <c r="K279" s="74">
        <v>0.17966855519087457</v>
      </c>
      <c r="L279" s="74">
        <v>0</v>
      </c>
      <c r="M279" s="74">
        <v>0</v>
      </c>
      <c r="N279" s="74">
        <v>0.55337147057531089</v>
      </c>
    </row>
    <row r="280" spans="1:14" x14ac:dyDescent="0.25">
      <c r="A280" t="str">
        <f>VLOOKUP(VALUE(RIGHT(B280,4)),'Waste Lookups'!$B$1:$C$295,2,FALSE)</f>
        <v>Clayton Health Centre</v>
      </c>
      <c r="B280" s="74" t="s">
        <v>684</v>
      </c>
      <c r="C280" s="74" t="s">
        <v>1361</v>
      </c>
      <c r="D280" s="74">
        <v>0.9856060606060606</v>
      </c>
      <c r="E280" s="74">
        <v>4.3714799999999991</v>
      </c>
      <c r="F280" s="74">
        <v>0</v>
      </c>
      <c r="G280" s="74">
        <v>0</v>
      </c>
      <c r="H280" s="74">
        <v>1.2399290080851901</v>
      </c>
      <c r="I280" s="74"/>
      <c r="J280" s="74">
        <v>0.81311349105844166</v>
      </c>
      <c r="K280" s="74">
        <v>3.6064199541411579</v>
      </c>
      <c r="L280" s="74">
        <v>0</v>
      </c>
      <c r="M280" s="74">
        <v>0</v>
      </c>
      <c r="N280" s="74">
        <v>1.0229269529946112</v>
      </c>
    </row>
    <row r="281" spans="1:14" x14ac:dyDescent="0.25">
      <c r="A281" t="str">
        <f>VLOOKUP(VALUE(RIGHT(B281,4)),'Waste Lookups'!$B$1:$C$295,2,FALSE)</f>
        <v>The Cornerstone Centre</v>
      </c>
      <c r="B281" s="74" t="s">
        <v>685</v>
      </c>
      <c r="C281" s="74" t="s">
        <v>1362</v>
      </c>
      <c r="D281" s="74">
        <v>1.5683939393939395</v>
      </c>
      <c r="E281" s="74">
        <v>2.7635999999999998</v>
      </c>
      <c r="F281" s="74">
        <v>0</v>
      </c>
      <c r="G281" s="74">
        <v>0</v>
      </c>
      <c r="H281" s="74">
        <v>0.72443305068033914</v>
      </c>
      <c r="I281" s="74"/>
      <c r="J281" s="74">
        <v>0.61350961084796674</v>
      </c>
      <c r="K281" s="74">
        <v>1.0810390922542179</v>
      </c>
      <c r="L281" s="74">
        <v>0</v>
      </c>
      <c r="M281" s="74">
        <v>0</v>
      </c>
      <c r="N281" s="74">
        <v>0.28337691688610056</v>
      </c>
    </row>
    <row r="282" spans="1:14" x14ac:dyDescent="0.25">
      <c r="A282" t="e">
        <f>VLOOKUP(VALUE(RIGHT(B282,4)),'Waste Lookups'!$B$1:$C$295,2,FALSE)</f>
        <v>#N/A</v>
      </c>
      <c r="B282" s="74" t="s">
        <v>1363</v>
      </c>
      <c r="C282" s="74" t="s">
        <v>1364</v>
      </c>
      <c r="D282" s="74">
        <v>0</v>
      </c>
      <c r="E282" s="74">
        <v>0.77351999999999987</v>
      </c>
      <c r="F282" s="74">
        <v>0</v>
      </c>
      <c r="G282" s="74">
        <v>0</v>
      </c>
      <c r="H282" s="74">
        <v>0.19798225202129757</v>
      </c>
      <c r="I282" s="74"/>
      <c r="J282" s="74">
        <v>0</v>
      </c>
      <c r="K282" s="74">
        <v>0.55956726487855424</v>
      </c>
      <c r="L282" s="74">
        <v>0</v>
      </c>
      <c r="M282" s="74">
        <v>0</v>
      </c>
      <c r="N282" s="74">
        <v>0.14322110256755369</v>
      </c>
    </row>
    <row r="283" spans="1:14" x14ac:dyDescent="0.25">
      <c r="A283" t="e">
        <f>VLOOKUP(VALUE(RIGHT(B283,4)),'Waste Lookups'!$B$1:$C$295,2,FALSE)</f>
        <v>#N/A</v>
      </c>
      <c r="B283" s="74" t="s">
        <v>1365</v>
      </c>
      <c r="C283" s="74" t="s">
        <v>1366</v>
      </c>
      <c r="D283" s="74">
        <v>0</v>
      </c>
      <c r="E283" s="74">
        <v>0.71772000000000002</v>
      </c>
      <c r="F283" s="74">
        <v>0</v>
      </c>
      <c r="G283" s="74">
        <v>0</v>
      </c>
      <c r="H283" s="74">
        <v>0.84961861565766117</v>
      </c>
      <c r="I283" s="74"/>
      <c r="J283" s="74">
        <v>0</v>
      </c>
      <c r="K283" s="74">
        <v>1.5274115832157971</v>
      </c>
      <c r="L283" s="74">
        <v>0</v>
      </c>
      <c r="M283" s="74">
        <v>0</v>
      </c>
      <c r="N283" s="74">
        <v>1.8081108438824078</v>
      </c>
    </row>
    <row r="284" spans="1:14" x14ac:dyDescent="0.25">
      <c r="A284" t="str">
        <f>VLOOKUP(VALUE(RIGHT(B284,4)),'Waste Lookups'!$B$1:$C$295,2,FALSE)</f>
        <v>Harpurhey Health Centre</v>
      </c>
      <c r="B284" s="74" t="s">
        <v>686</v>
      </c>
      <c r="C284" s="74" t="s">
        <v>1367</v>
      </c>
      <c r="D284" s="74">
        <v>2.9484242424242426</v>
      </c>
      <c r="E284" s="74">
        <v>9.2312999999999992</v>
      </c>
      <c r="F284" s="74">
        <v>0</v>
      </c>
      <c r="G284" s="74">
        <v>0</v>
      </c>
      <c r="H284" s="74">
        <v>0.64598225202129755</v>
      </c>
      <c r="I284" s="74"/>
      <c r="J284" s="74">
        <v>2.3119528673369865</v>
      </c>
      <c r="K284" s="74">
        <v>7.2385548175726262</v>
      </c>
      <c r="L284" s="74">
        <v>0</v>
      </c>
      <c r="M284" s="74">
        <v>0</v>
      </c>
      <c r="N284" s="74">
        <v>0.50653515132594296</v>
      </c>
    </row>
    <row r="285" spans="1:14" x14ac:dyDescent="0.25">
      <c r="A285" t="str">
        <f>VLOOKUP(VALUE(RIGHT(B285,4)),'Waste Lookups'!$B$1:$C$295,2,FALSE)</f>
        <v>Levenshulme Health Centre</v>
      </c>
      <c r="B285" s="74" t="s">
        <v>687</v>
      </c>
      <c r="C285" s="74" t="s">
        <v>1368</v>
      </c>
      <c r="D285" s="74">
        <v>0</v>
      </c>
      <c r="E285" s="74">
        <v>4.1663399999999999</v>
      </c>
      <c r="F285" s="74">
        <v>1.7256363636363639</v>
      </c>
      <c r="G285" s="74">
        <v>0</v>
      </c>
      <c r="H285" s="74">
        <v>0.43077262867284555</v>
      </c>
      <c r="I285" s="74"/>
      <c r="J285" s="74">
        <v>0</v>
      </c>
      <c r="K285" s="74">
        <v>3.3053292646796963</v>
      </c>
      <c r="L285" s="74">
        <v>1.3690184605487621</v>
      </c>
      <c r="M285" s="74">
        <v>0</v>
      </c>
      <c r="N285" s="74">
        <v>0.34174968340926487</v>
      </c>
    </row>
    <row r="286" spans="1:14" x14ac:dyDescent="0.25">
      <c r="A286" t="e">
        <f>VLOOKUP(VALUE(RIGHT(B286,4)),'Waste Lookups'!$B$1:$C$295,2,FALSE)</f>
        <v>#N/A</v>
      </c>
      <c r="B286" s="74" t="s">
        <v>1369</v>
      </c>
      <c r="C286" s="74" t="s">
        <v>1370</v>
      </c>
      <c r="D286" s="74">
        <v>2.3511212121212122</v>
      </c>
      <c r="E286" s="74">
        <v>8.1004799999999992</v>
      </c>
      <c r="F286" s="74">
        <v>0</v>
      </c>
      <c r="G286" s="74">
        <v>0</v>
      </c>
      <c r="H286" s="74">
        <v>0.64598225202129755</v>
      </c>
      <c r="I286" s="74"/>
      <c r="J286" s="74">
        <v>1.6606129881548446</v>
      </c>
      <c r="K286" s="74">
        <v>5.7214244118669653</v>
      </c>
      <c r="L286" s="74">
        <v>0</v>
      </c>
      <c r="M286" s="74">
        <v>0</v>
      </c>
      <c r="N286" s="74">
        <v>0.456261681572876</v>
      </c>
    </row>
    <row r="287" spans="1:14" x14ac:dyDescent="0.25">
      <c r="A287" t="str">
        <f>VLOOKUP(VALUE(RIGHT(B287,4)),'Waste Lookups'!$B$1:$C$295,2,FALSE)</f>
        <v>Moss Side Health Centre</v>
      </c>
      <c r="B287" s="74" t="s">
        <v>688</v>
      </c>
      <c r="C287" s="74" t="s">
        <v>1371</v>
      </c>
      <c r="D287" s="74">
        <v>2.0458787878787881</v>
      </c>
      <c r="E287" s="74">
        <v>8.7865800000000007</v>
      </c>
      <c r="F287" s="74">
        <v>0</v>
      </c>
      <c r="G287" s="74">
        <v>0</v>
      </c>
      <c r="H287" s="74">
        <v>0.43077262867284555</v>
      </c>
      <c r="I287" s="74"/>
      <c r="J287" s="74">
        <v>1.1689984712282473</v>
      </c>
      <c r="K287" s="74">
        <v>5.0205802260525951</v>
      </c>
      <c r="L287" s="74">
        <v>0</v>
      </c>
      <c r="M287" s="74">
        <v>0</v>
      </c>
      <c r="N287" s="74">
        <v>0.24613997043668703</v>
      </c>
    </row>
    <row r="288" spans="1:14" x14ac:dyDescent="0.25">
      <c r="A288" t="e">
        <f>VLOOKUP(VALUE(RIGHT(B288,4)),'Waste Lookups'!$B$1:$C$295,2,FALSE)</f>
        <v>#N/A</v>
      </c>
      <c r="B288" s="74" t="s">
        <v>1372</v>
      </c>
      <c r="C288" s="74" t="s">
        <v>1373</v>
      </c>
      <c r="D288" s="74">
        <v>2.5165454545454549</v>
      </c>
      <c r="E288" s="74">
        <v>7.7340600000000004</v>
      </c>
      <c r="F288" s="74">
        <v>0</v>
      </c>
      <c r="G288" s="74">
        <v>0</v>
      </c>
      <c r="H288" s="74">
        <v>1.465033326760008</v>
      </c>
      <c r="I288" s="74"/>
      <c r="J288" s="74">
        <v>1.0512616507488384</v>
      </c>
      <c r="K288" s="74">
        <v>3.2308260786249607</v>
      </c>
      <c r="L288" s="74">
        <v>0</v>
      </c>
      <c r="M288" s="74">
        <v>0</v>
      </c>
      <c r="N288" s="74">
        <v>0.61200299430711902</v>
      </c>
    </row>
    <row r="289" spans="1:14" x14ac:dyDescent="0.25">
      <c r="A289" t="e">
        <f>VLOOKUP(VALUE(RIGHT(B289,4)),'Waste Lookups'!$B$1:$C$295,2,FALSE)</f>
        <v>#N/A</v>
      </c>
      <c r="B289" s="74" t="s">
        <v>1374</v>
      </c>
      <c r="C289" s="74" t="s">
        <v>1375</v>
      </c>
      <c r="D289" s="74">
        <v>0</v>
      </c>
      <c r="E289" s="74">
        <v>0</v>
      </c>
      <c r="F289" s="74">
        <v>0</v>
      </c>
      <c r="G289" s="74">
        <v>0</v>
      </c>
      <c r="H289" s="74">
        <v>0.42865233681719589</v>
      </c>
      <c r="I289" s="74"/>
      <c r="J289" s="74">
        <v>0</v>
      </c>
      <c r="K289" s="74">
        <v>0</v>
      </c>
      <c r="L289" s="74">
        <v>0</v>
      </c>
      <c r="M289" s="74">
        <v>0</v>
      </c>
      <c r="N289" s="74">
        <v>3.0062241503976863</v>
      </c>
    </row>
    <row r="290" spans="1:14" x14ac:dyDescent="0.25">
      <c r="A290" t="str">
        <f>VLOOKUP(VALUE(RIGHT(B290,4)),'Waste Lookups'!$B$1:$C$295,2,FALSE)</f>
        <v>Northenden Health Centre</v>
      </c>
      <c r="B290" s="74" t="s">
        <v>689</v>
      </c>
      <c r="C290" s="74" t="s">
        <v>1376</v>
      </c>
      <c r="D290" s="74">
        <v>2.1477272727272729</v>
      </c>
      <c r="E290" s="74">
        <v>7.5631199999999987</v>
      </c>
      <c r="F290" s="74">
        <v>0</v>
      </c>
      <c r="G290" s="74">
        <v>0</v>
      </c>
      <c r="H290" s="74">
        <v>0.64598225202129755</v>
      </c>
      <c r="I290" s="74"/>
      <c r="J290" s="74">
        <v>0.98959116241473688</v>
      </c>
      <c r="K290" s="74">
        <v>3.4847984692107339</v>
      </c>
      <c r="L290" s="74">
        <v>0</v>
      </c>
      <c r="M290" s="74">
        <v>0</v>
      </c>
      <c r="N290" s="74">
        <v>0.29764408907714285</v>
      </c>
    </row>
    <row r="291" spans="1:14" x14ac:dyDescent="0.25">
      <c r="A291" t="e">
        <f>VLOOKUP(VALUE(RIGHT(B291,4)),'Waste Lookups'!$B$1:$C$295,2,FALSE)</f>
        <v>#N/A</v>
      </c>
      <c r="B291" s="74" t="s">
        <v>1377</v>
      </c>
      <c r="C291" s="74" t="s">
        <v>1378</v>
      </c>
      <c r="D291" s="74">
        <v>0.5411818181818181</v>
      </c>
      <c r="E291" s="74">
        <v>18.93066</v>
      </c>
      <c r="F291" s="74">
        <v>0</v>
      </c>
      <c r="G291" s="74">
        <v>0</v>
      </c>
      <c r="H291" s="74">
        <v>5.3007296391244324E-2</v>
      </c>
      <c r="I291" s="74"/>
      <c r="J291" s="74">
        <v>2.4300773380757392E-2</v>
      </c>
      <c r="K291" s="74">
        <v>0.85004644123800688</v>
      </c>
      <c r="L291" s="74">
        <v>0</v>
      </c>
      <c r="M291" s="74">
        <v>0</v>
      </c>
      <c r="N291" s="74">
        <v>2.3801950728091614E-3</v>
      </c>
    </row>
    <row r="292" spans="1:14" x14ac:dyDescent="0.25">
      <c r="A292" t="str">
        <f>VLOOKUP(VALUE(RIGHT(B292,4)),'Waste Lookups'!$B$1:$C$295,2,FALSE)</f>
        <v>Parkway 1</v>
      </c>
      <c r="B292" s="74" t="s">
        <v>753</v>
      </c>
      <c r="C292" s="74" t="s">
        <v>1379</v>
      </c>
      <c r="D292" s="74">
        <v>0</v>
      </c>
      <c r="E292" s="74">
        <v>59.857979999999998</v>
      </c>
      <c r="F292" s="74">
        <v>0</v>
      </c>
      <c r="G292" s="74">
        <v>0</v>
      </c>
      <c r="H292" s="74">
        <v>10.433514494182605</v>
      </c>
      <c r="I292" s="74"/>
      <c r="J292" s="74">
        <v>0</v>
      </c>
      <c r="K292" s="74">
        <v>16.585361281087117</v>
      </c>
      <c r="L292" s="74">
        <v>0</v>
      </c>
      <c r="M292" s="74">
        <v>0</v>
      </c>
      <c r="N292" s="74">
        <v>2.8909028890964485</v>
      </c>
    </row>
    <row r="293" spans="1:14" x14ac:dyDescent="0.25">
      <c r="A293" t="str">
        <f>VLOOKUP(VALUE(RIGHT(B293,4)),'Waste Lookups'!$B$1:$C$295,2,FALSE)</f>
        <v>Parkway 3</v>
      </c>
      <c r="B293" s="74" t="s">
        <v>754</v>
      </c>
      <c r="C293" s="74" t="s">
        <v>1380</v>
      </c>
      <c r="D293" s="74">
        <v>0.2126060606060606</v>
      </c>
      <c r="E293" s="74">
        <v>65.13552</v>
      </c>
      <c r="F293" s="74">
        <v>0</v>
      </c>
      <c r="G293" s="74">
        <v>0</v>
      </c>
      <c r="H293" s="74">
        <v>2.6662670084795899</v>
      </c>
      <c r="I293" s="74"/>
      <c r="J293" s="74">
        <v>0.17582034964447313</v>
      </c>
      <c r="K293" s="74">
        <v>53.865585336696256</v>
      </c>
      <c r="L293" s="74">
        <v>0</v>
      </c>
      <c r="M293" s="74">
        <v>0</v>
      </c>
      <c r="N293" s="74">
        <v>2.2049418362772752</v>
      </c>
    </row>
    <row r="294" spans="1:14" x14ac:dyDescent="0.25">
      <c r="A294" t="e">
        <f>VLOOKUP(VALUE(RIGHT(B294,4)),'Waste Lookups'!$B$1:$C$295,2,FALSE)</f>
        <v>#N/A</v>
      </c>
      <c r="B294" s="74" t="s">
        <v>1381</v>
      </c>
      <c r="C294" s="74" t="s">
        <v>1382</v>
      </c>
      <c r="D294" s="74">
        <v>0</v>
      </c>
      <c r="E294" s="74">
        <v>0.39888000000000007</v>
      </c>
      <c r="F294" s="74">
        <v>0</v>
      </c>
      <c r="G294" s="74">
        <v>0</v>
      </c>
      <c r="H294" s="74">
        <v>0.42759219088937089</v>
      </c>
      <c r="I294" s="74"/>
      <c r="J294" s="74">
        <v>0</v>
      </c>
      <c r="K294" s="74">
        <v>1.8744200489955907</v>
      </c>
      <c r="L294" s="74">
        <v>0</v>
      </c>
      <c r="M294" s="74">
        <v>0</v>
      </c>
      <c r="N294" s="74">
        <v>2.0093446033819351</v>
      </c>
    </row>
    <row r="295" spans="1:14" x14ac:dyDescent="0.25">
      <c r="A295" t="e">
        <f>VLOOKUP(VALUE(RIGHT(B295,4)),'Waste Lookups'!$B$1:$C$295,2,FALSE)</f>
        <v>#N/A</v>
      </c>
      <c r="B295" s="74" t="s">
        <v>1383</v>
      </c>
      <c r="C295" s="74" t="s">
        <v>1384</v>
      </c>
      <c r="D295" s="74">
        <v>0</v>
      </c>
      <c r="E295" s="74">
        <v>0.17279999999999998</v>
      </c>
      <c r="F295" s="74">
        <v>0</v>
      </c>
      <c r="G295" s="74">
        <v>0</v>
      </c>
      <c r="H295" s="74">
        <v>0.22793137448235062</v>
      </c>
      <c r="I295" s="74"/>
      <c r="J295" s="74">
        <v>0</v>
      </c>
      <c r="K295" s="74">
        <v>0.37117611940298506</v>
      </c>
      <c r="L295" s="74">
        <v>0</v>
      </c>
      <c r="M295" s="74">
        <v>0</v>
      </c>
      <c r="N295" s="74">
        <v>0.48959886036196459</v>
      </c>
    </row>
    <row r="296" spans="1:14" x14ac:dyDescent="0.25">
      <c r="A296" t="e">
        <f>VLOOKUP(VALUE(RIGHT(B296,4)),'Waste Lookups'!$B$1:$C$295,2,FALSE)</f>
        <v>#N/A</v>
      </c>
      <c r="B296" s="74" t="s">
        <v>1385</v>
      </c>
      <c r="C296" s="74" t="s">
        <v>1386</v>
      </c>
      <c r="D296" s="74">
        <v>1.0923939393939395</v>
      </c>
      <c r="E296" s="74">
        <v>14.231819999999999</v>
      </c>
      <c r="F296" s="74">
        <v>0</v>
      </c>
      <c r="G296" s="74">
        <v>0</v>
      </c>
      <c r="H296" s="74">
        <v>0.64598225202129755</v>
      </c>
      <c r="I296" s="74"/>
      <c r="J296" s="74">
        <v>0.33551354170285203</v>
      </c>
      <c r="K296" s="74">
        <v>4.3711047460833008</v>
      </c>
      <c r="L296" s="74">
        <v>0</v>
      </c>
      <c r="M296" s="74">
        <v>0</v>
      </c>
      <c r="N296" s="74">
        <v>0.19840442667879954</v>
      </c>
    </row>
    <row r="297" spans="1:14" x14ac:dyDescent="0.25">
      <c r="A297" t="e">
        <f>VLOOKUP(VALUE(RIGHT(B297,4)),'Waste Lookups'!$B$1:$C$295,2,FALSE)</f>
        <v>#N/A</v>
      </c>
      <c r="B297" s="74" t="s">
        <v>1387</v>
      </c>
      <c r="C297" s="74" t="s">
        <v>1388</v>
      </c>
      <c r="D297" s="74">
        <v>0</v>
      </c>
      <c r="E297" s="74">
        <v>0.63066</v>
      </c>
      <c r="F297" s="74">
        <v>0</v>
      </c>
      <c r="G297" s="74">
        <v>0</v>
      </c>
      <c r="H297" s="74">
        <v>0</v>
      </c>
      <c r="I297" s="74"/>
      <c r="J297" s="74">
        <v>0</v>
      </c>
      <c r="K297" s="74">
        <v>2.351305</v>
      </c>
      <c r="L297" s="74">
        <v>0</v>
      </c>
      <c r="M297" s="74">
        <v>0</v>
      </c>
      <c r="N297" s="74">
        <v>0</v>
      </c>
    </row>
    <row r="298" spans="1:14" x14ac:dyDescent="0.25">
      <c r="A298" t="str">
        <f>VLOOKUP(VALUE(RIGHT(B298,4)),'Waste Lookups'!$B$1:$C$295,2,FALSE)</f>
        <v>Rusholme Health Centre</v>
      </c>
      <c r="B298" s="74" t="s">
        <v>690</v>
      </c>
      <c r="C298" s="74" t="s">
        <v>1389</v>
      </c>
      <c r="D298" s="74">
        <v>3.224787878787879</v>
      </c>
      <c r="E298" s="74">
        <v>10.925219999999999</v>
      </c>
      <c r="F298" s="74">
        <v>0</v>
      </c>
      <c r="G298" s="74">
        <v>2.2333499999999997</v>
      </c>
      <c r="H298" s="74">
        <v>0.64598225202129755</v>
      </c>
      <c r="I298" s="74"/>
      <c r="J298" s="74">
        <v>1.2889701666544697</v>
      </c>
      <c r="K298" s="74">
        <v>4.3668864971763472</v>
      </c>
      <c r="L298" s="74">
        <v>0</v>
      </c>
      <c r="M298" s="74">
        <v>0.89268554394957678</v>
      </c>
      <c r="N298" s="74">
        <v>0.25820360356746797</v>
      </c>
    </row>
    <row r="299" spans="1:14" x14ac:dyDescent="0.25">
      <c r="A299" t="str">
        <f>VLOOKUP(VALUE(RIGHT(B299,4)),'Waste Lookups'!$B$1:$C$295,2,FALSE)</f>
        <v>Wythenshawe Offices</v>
      </c>
      <c r="B299" s="74" t="s">
        <v>692</v>
      </c>
      <c r="C299" s="74" t="s">
        <v>1390</v>
      </c>
      <c r="D299" s="74">
        <v>0</v>
      </c>
      <c r="E299" s="74">
        <v>1.3983599999999998</v>
      </c>
      <c r="F299" s="74">
        <v>0.38181818181818183</v>
      </c>
      <c r="G299" s="74">
        <v>0</v>
      </c>
      <c r="H299" s="74">
        <v>1.5683975547229345</v>
      </c>
      <c r="I299" s="74"/>
      <c r="J299" s="74">
        <v>0</v>
      </c>
      <c r="K299" s="74">
        <v>1.7841097501628824</v>
      </c>
      <c r="L299" s="74">
        <v>0.48714604320152349</v>
      </c>
      <c r="M299" s="74">
        <v>0</v>
      </c>
      <c r="N299" s="74">
        <v>2.0010536410601061</v>
      </c>
    </row>
    <row r="300" spans="1:14" x14ac:dyDescent="0.25">
      <c r="A300" t="str">
        <f>VLOOKUP(VALUE(RIGHT(B300,4)),'Waste Lookups'!$B$1:$C$295,2,FALSE)</f>
        <v>City Works Business Park</v>
      </c>
      <c r="B300" s="74" t="s">
        <v>683</v>
      </c>
      <c r="C300" s="74" t="s">
        <v>1391</v>
      </c>
      <c r="D300" s="74">
        <v>0</v>
      </c>
      <c r="E300" s="74">
        <v>1.9375200000000001</v>
      </c>
      <c r="F300" s="74">
        <v>0</v>
      </c>
      <c r="G300" s="74">
        <v>0</v>
      </c>
      <c r="H300" s="74">
        <v>1.7146093472687836</v>
      </c>
      <c r="I300" s="74"/>
      <c r="J300" s="74">
        <v>0</v>
      </c>
      <c r="K300" s="74">
        <v>1.8960242259661362</v>
      </c>
      <c r="L300" s="74">
        <v>0</v>
      </c>
      <c r="M300" s="74">
        <v>0</v>
      </c>
      <c r="N300" s="74">
        <v>1.6778876401222165</v>
      </c>
    </row>
    <row r="301" spans="1:14" x14ac:dyDescent="0.25">
      <c r="A301" t="e">
        <f>VLOOKUP(VALUE(RIGHT(B301,4)),'Waste Lookups'!$B$1:$C$295,2,FALSE)</f>
        <v>#N/A</v>
      </c>
      <c r="B301" s="74" t="s">
        <v>1392</v>
      </c>
      <c r="C301" s="74" t="s">
        <v>1393</v>
      </c>
      <c r="D301" s="74">
        <v>0.38924242424242422</v>
      </c>
      <c r="E301" s="74">
        <v>2.2233000000000001</v>
      </c>
      <c r="F301" s="74">
        <v>0</v>
      </c>
      <c r="G301" s="74">
        <v>0</v>
      </c>
      <c r="H301" s="74">
        <v>0.4381936501676198</v>
      </c>
      <c r="I301" s="74"/>
      <c r="J301" s="74">
        <v>2.9346093837066756E-2</v>
      </c>
      <c r="K301" s="74">
        <v>0.16762091273821464</v>
      </c>
      <c r="L301" s="74">
        <v>0</v>
      </c>
      <c r="M301" s="74">
        <v>0</v>
      </c>
      <c r="N301" s="74">
        <v>3.3036666035706541E-2</v>
      </c>
    </row>
    <row r="302" spans="1:14" x14ac:dyDescent="0.25">
      <c r="A302" t="e">
        <f>VLOOKUP(VALUE(RIGHT(B302,4)),'Waste Lookups'!$B$1:$C$295,2,FALSE)</f>
        <v>#N/A</v>
      </c>
      <c r="B302" s="74" t="s">
        <v>1394</v>
      </c>
      <c r="C302" s="74" t="s">
        <v>1395</v>
      </c>
      <c r="D302" s="74">
        <v>0</v>
      </c>
      <c r="E302" s="74">
        <v>0</v>
      </c>
      <c r="F302" s="74">
        <v>0</v>
      </c>
      <c r="G302" s="74">
        <v>0</v>
      </c>
      <c r="H302" s="74">
        <v>0.87037980674423177</v>
      </c>
      <c r="I302" s="74"/>
      <c r="J302" s="74">
        <v>0</v>
      </c>
      <c r="K302" s="74">
        <v>0</v>
      </c>
      <c r="L302" s="74">
        <v>0</v>
      </c>
      <c r="M302" s="74">
        <v>0</v>
      </c>
      <c r="N302" s="74">
        <v>1.9688676789587853</v>
      </c>
    </row>
    <row r="303" spans="1:14" x14ac:dyDescent="0.25">
      <c r="A303" t="str">
        <f>VLOOKUP(VALUE(RIGHT(B303,4)),'Waste Lookups'!$B$1:$C$295,2,FALSE)</f>
        <v>Withington Clinic</v>
      </c>
      <c r="B303" s="74" t="s">
        <v>691</v>
      </c>
      <c r="C303" s="74" t="s">
        <v>1396</v>
      </c>
      <c r="D303" s="74">
        <v>1.437606060606061</v>
      </c>
      <c r="E303" s="74">
        <v>3.7584599999999999</v>
      </c>
      <c r="F303" s="74">
        <v>0</v>
      </c>
      <c r="G303" s="74">
        <v>0</v>
      </c>
      <c r="H303" s="74">
        <v>1.0877097219483338</v>
      </c>
      <c r="I303" s="74"/>
      <c r="J303" s="74">
        <v>0.72299008045504864</v>
      </c>
      <c r="K303" s="74">
        <v>1.8901765735750449</v>
      </c>
      <c r="L303" s="74">
        <v>0</v>
      </c>
      <c r="M303" s="74">
        <v>0</v>
      </c>
      <c r="N303" s="74">
        <v>0.54702283256348772</v>
      </c>
    </row>
    <row r="304" spans="1:14" x14ac:dyDescent="0.25">
      <c r="A304" t="e">
        <f>VLOOKUP(VALUE(RIGHT(B304,4)),'Waste Lookups'!$B$1:$C$295,2,FALSE)</f>
        <v>#N/A</v>
      </c>
      <c r="B304" s="74" t="s">
        <v>1397</v>
      </c>
      <c r="C304" s="74" t="s">
        <v>1398</v>
      </c>
      <c r="D304" s="74">
        <v>0.13636363636363638</v>
      </c>
      <c r="E304" s="74">
        <v>10.101000000000001</v>
      </c>
      <c r="F304" s="74">
        <v>0</v>
      </c>
      <c r="G304" s="74">
        <v>0</v>
      </c>
      <c r="H304" s="74">
        <v>0</v>
      </c>
      <c r="I304" s="74"/>
      <c r="J304" s="74">
        <v>0</v>
      </c>
      <c r="K304" s="74">
        <v>0</v>
      </c>
      <c r="L304" s="74">
        <v>0</v>
      </c>
      <c r="M304" s="74">
        <v>0</v>
      </c>
      <c r="N304" s="74">
        <v>0</v>
      </c>
    </row>
    <row r="305" spans="1:14" x14ac:dyDescent="0.25">
      <c r="A305" t="e">
        <f>VLOOKUP(VALUE(RIGHT(B305,4)),'Waste Lookups'!$B$1:$C$295,2,FALSE)</f>
        <v>#N/A</v>
      </c>
      <c r="B305" s="74" t="s">
        <v>1399</v>
      </c>
      <c r="C305" s="74" t="s">
        <v>1400</v>
      </c>
      <c r="D305" s="74">
        <v>0</v>
      </c>
      <c r="E305" s="74">
        <v>4.8146400000000007</v>
      </c>
      <c r="F305" s="74">
        <v>0</v>
      </c>
      <c r="G305" s="74">
        <v>2.052</v>
      </c>
      <c r="H305" s="74">
        <v>0</v>
      </c>
      <c r="I305" s="74"/>
      <c r="J305" s="74">
        <v>0</v>
      </c>
      <c r="K305" s="74">
        <v>4.0101285641085358</v>
      </c>
      <c r="L305" s="74">
        <v>0</v>
      </c>
      <c r="M305" s="74">
        <v>1.7091171538371954</v>
      </c>
      <c r="N305" s="74">
        <v>0</v>
      </c>
    </row>
    <row r="306" spans="1:14" x14ac:dyDescent="0.25">
      <c r="A306" t="e">
        <f>VLOOKUP(VALUE(RIGHT(B306,4)),'Waste Lookups'!$B$1:$C$295,2,FALSE)</f>
        <v>#N/A</v>
      </c>
      <c r="B306" s="74" t="s">
        <v>1401</v>
      </c>
      <c r="C306" s="74" t="s">
        <v>1402</v>
      </c>
      <c r="D306" s="74">
        <v>3.259575757575758</v>
      </c>
      <c r="E306" s="74">
        <v>8.3693399999999993</v>
      </c>
      <c r="F306" s="74">
        <v>0</v>
      </c>
      <c r="G306" s="74">
        <v>4.1933699999999998</v>
      </c>
      <c r="H306" s="74">
        <v>0</v>
      </c>
      <c r="I306" s="74"/>
      <c r="J306" s="74">
        <v>3.2507205072059064</v>
      </c>
      <c r="K306" s="74">
        <v>8.3466031143920603</v>
      </c>
      <c r="L306" s="74">
        <v>0</v>
      </c>
      <c r="M306" s="74">
        <v>4.1819779220103657</v>
      </c>
      <c r="N306" s="74">
        <v>0</v>
      </c>
    </row>
    <row r="307" spans="1:14" x14ac:dyDescent="0.25">
      <c r="A307" t="e">
        <f>VLOOKUP(VALUE(RIGHT(B307,4)),'Waste Lookups'!$B$1:$C$295,2,FALSE)</f>
        <v>#N/A</v>
      </c>
      <c r="B307" s="74" t="s">
        <v>1403</v>
      </c>
      <c r="C307" s="74" t="s">
        <v>1404</v>
      </c>
      <c r="D307" s="74">
        <v>4.4921212121212131</v>
      </c>
      <c r="E307" s="74">
        <v>2.5273799999999995</v>
      </c>
      <c r="F307" s="74">
        <v>0</v>
      </c>
      <c r="G307" s="74">
        <v>2.4839999999999995</v>
      </c>
      <c r="H307" s="74">
        <v>0</v>
      </c>
      <c r="I307" s="74"/>
      <c r="J307" s="74">
        <v>3.0585924522357777</v>
      </c>
      <c r="K307" s="74">
        <v>1.7208407847662215</v>
      </c>
      <c r="L307" s="74">
        <v>0</v>
      </c>
      <c r="M307" s="74">
        <v>1.691304239710409</v>
      </c>
      <c r="N307" s="74">
        <v>0</v>
      </c>
    </row>
    <row r="308" spans="1:14" x14ac:dyDescent="0.25">
      <c r="A308" t="e">
        <f>VLOOKUP(VALUE(RIGHT(B308,4)),'Waste Lookups'!$B$1:$C$295,2,FALSE)</f>
        <v>#N/A</v>
      </c>
      <c r="B308" s="74" t="s">
        <v>1405</v>
      </c>
      <c r="C308" s="74" t="s">
        <v>1406</v>
      </c>
      <c r="D308" s="74">
        <v>9.7179393939393961</v>
      </c>
      <c r="E308" s="74">
        <v>9.5388000000000019</v>
      </c>
      <c r="F308" s="74">
        <v>0</v>
      </c>
      <c r="G308" s="74">
        <v>2.8512000000000004</v>
      </c>
      <c r="H308" s="74">
        <v>0</v>
      </c>
      <c r="I308" s="74"/>
      <c r="J308" s="74">
        <v>10.041136186901475</v>
      </c>
      <c r="K308" s="74">
        <v>9.8560390198923606</v>
      </c>
      <c r="L308" s="74">
        <v>0</v>
      </c>
      <c r="M308" s="74">
        <v>2.9460244950640648</v>
      </c>
      <c r="N308" s="74">
        <v>0</v>
      </c>
    </row>
    <row r="309" spans="1:14" x14ac:dyDescent="0.25">
      <c r="A309" t="e">
        <f>VLOOKUP(VALUE(RIGHT(B309,4)),'Waste Lookups'!$B$1:$C$295,2,FALSE)</f>
        <v>#N/A</v>
      </c>
      <c r="B309" s="74" t="s">
        <v>1407</v>
      </c>
      <c r="C309" s="74" t="s">
        <v>1408</v>
      </c>
      <c r="D309" s="74">
        <v>3.0233333333333334</v>
      </c>
      <c r="E309" s="74">
        <v>4.6777199999999999</v>
      </c>
      <c r="F309" s="74">
        <v>0</v>
      </c>
      <c r="G309" s="74">
        <v>2.8079999999999998</v>
      </c>
      <c r="H309" s="74">
        <v>0</v>
      </c>
      <c r="I309" s="74"/>
      <c r="J309" s="74">
        <v>2.830774277702262</v>
      </c>
      <c r="K309" s="74">
        <v>4.3797914402293561</v>
      </c>
      <c r="L309" s="74">
        <v>0</v>
      </c>
      <c r="M309" s="74">
        <v>2.6291557348802486</v>
      </c>
      <c r="N309" s="74">
        <v>0</v>
      </c>
    </row>
    <row r="310" spans="1:14" x14ac:dyDescent="0.25">
      <c r="A310" t="e">
        <f>VLOOKUP(VALUE(RIGHT(B310,4)),'Waste Lookups'!$B$1:$C$295,2,FALSE)</f>
        <v>#N/A</v>
      </c>
      <c r="B310" s="74" t="s">
        <v>1409</v>
      </c>
      <c r="C310" s="74" t="s">
        <v>1410</v>
      </c>
      <c r="D310" s="74">
        <v>5.9203333333333337</v>
      </c>
      <c r="E310" s="74">
        <v>18.381539999999998</v>
      </c>
      <c r="F310" s="74">
        <v>0</v>
      </c>
      <c r="G310" s="74">
        <v>5.7618</v>
      </c>
      <c r="H310" s="74">
        <v>0</v>
      </c>
      <c r="I310" s="74"/>
      <c r="J310" s="74">
        <v>5.7212229918495616</v>
      </c>
      <c r="K310" s="74">
        <v>17.763339216305788</v>
      </c>
      <c r="L310" s="74">
        <v>0</v>
      </c>
      <c r="M310" s="74">
        <v>5.5680213897481226</v>
      </c>
      <c r="N310" s="74">
        <v>0</v>
      </c>
    </row>
    <row r="311" spans="1:14" x14ac:dyDescent="0.25">
      <c r="A311" t="e">
        <f>VLOOKUP(VALUE(RIGHT(B311,4)),'Waste Lookups'!$B$1:$C$295,2,FALSE)</f>
        <v>#N/A</v>
      </c>
      <c r="B311" s="74" t="s">
        <v>1411</v>
      </c>
      <c r="C311" s="74" t="s">
        <v>1412</v>
      </c>
      <c r="D311" s="74">
        <v>1.6261515151515149</v>
      </c>
      <c r="E311" s="74">
        <v>8.7545999999999982</v>
      </c>
      <c r="F311" s="74">
        <v>0</v>
      </c>
      <c r="G311" s="74">
        <v>5.9533199999999997</v>
      </c>
      <c r="H311" s="74">
        <v>0</v>
      </c>
      <c r="I311" s="74"/>
      <c r="J311" s="74">
        <v>1.3683286473406318</v>
      </c>
      <c r="K311" s="74">
        <v>7.3665767699955946</v>
      </c>
      <c r="L311" s="74">
        <v>0</v>
      </c>
      <c r="M311" s="74">
        <v>5.0094337624049281</v>
      </c>
      <c r="N311" s="74">
        <v>0</v>
      </c>
    </row>
    <row r="312" spans="1:14" x14ac:dyDescent="0.25">
      <c r="A312" t="e">
        <f>VLOOKUP(VALUE(RIGHT(B312,4)),'Waste Lookups'!$B$1:$C$295,2,FALSE)</f>
        <v>#N/A</v>
      </c>
      <c r="B312" s="74" t="s">
        <v>1413</v>
      </c>
      <c r="C312" s="74" t="s">
        <v>1414</v>
      </c>
      <c r="D312" s="74">
        <v>1.0354848484848485</v>
      </c>
      <c r="E312" s="74">
        <v>4.7261399999999991</v>
      </c>
      <c r="F312" s="74">
        <v>0</v>
      </c>
      <c r="G312" s="74">
        <v>2.7324000000000002</v>
      </c>
      <c r="H312" s="74">
        <v>0</v>
      </c>
      <c r="I312" s="74"/>
      <c r="J312" s="74">
        <v>0.9144524705357836</v>
      </c>
      <c r="K312" s="74">
        <v>4.1737263518841585</v>
      </c>
      <c r="L312" s="74">
        <v>0</v>
      </c>
      <c r="M312" s="74">
        <v>2.4130241346824843</v>
      </c>
      <c r="N312" s="74">
        <v>0</v>
      </c>
    </row>
    <row r="313" spans="1:14" x14ac:dyDescent="0.25">
      <c r="A313" t="e">
        <f>VLOOKUP(VALUE(RIGHT(B313,4)),'Waste Lookups'!$B$1:$C$295,2,FALSE)</f>
        <v>#N/A</v>
      </c>
      <c r="B313" s="74" t="s">
        <v>1415</v>
      </c>
      <c r="C313" s="74" t="s">
        <v>1416</v>
      </c>
      <c r="D313" s="74">
        <v>5.5411212121212117</v>
      </c>
      <c r="E313" s="74">
        <v>9.7987199999999994</v>
      </c>
      <c r="F313" s="74">
        <v>0</v>
      </c>
      <c r="G313" s="74">
        <v>2.6459999999999999</v>
      </c>
      <c r="H313" s="74">
        <v>0</v>
      </c>
      <c r="I313" s="74"/>
      <c r="J313" s="74">
        <v>3.635992100726571</v>
      </c>
      <c r="K313" s="74">
        <v>6.4297580134675654</v>
      </c>
      <c r="L313" s="74">
        <v>0</v>
      </c>
      <c r="M313" s="74">
        <v>1.7362614406407344</v>
      </c>
      <c r="N313" s="74">
        <v>0</v>
      </c>
    </row>
    <row r="314" spans="1:14" x14ac:dyDescent="0.25">
      <c r="A314" t="e">
        <f>VLOOKUP(VALUE(RIGHT(B314,4)),'Waste Lookups'!$B$1:$C$295,2,FALSE)</f>
        <v>#N/A</v>
      </c>
      <c r="B314" s="74" t="s">
        <v>1417</v>
      </c>
      <c r="C314" s="74" t="s">
        <v>1418</v>
      </c>
      <c r="D314" s="74">
        <v>7.7799696969696956</v>
      </c>
      <c r="E314" s="74">
        <v>11.392379999999998</v>
      </c>
      <c r="F314" s="74">
        <v>0</v>
      </c>
      <c r="G314" s="74">
        <v>0.94868999999999992</v>
      </c>
      <c r="H314" s="74">
        <v>0</v>
      </c>
      <c r="I314" s="74"/>
      <c r="J314" s="74">
        <v>5.1609544951763056</v>
      </c>
      <c r="K314" s="74">
        <v>7.5572986864791432</v>
      </c>
      <c r="L314" s="74">
        <v>0</v>
      </c>
      <c r="M314" s="74">
        <v>0.62932711960765864</v>
      </c>
      <c r="N314" s="74">
        <v>0</v>
      </c>
    </row>
    <row r="315" spans="1:14" x14ac:dyDescent="0.25">
      <c r="A315" t="e">
        <f>VLOOKUP(VALUE(RIGHT(B315,4)),'Waste Lookups'!$B$1:$C$295,2,FALSE)</f>
        <v>#N/A</v>
      </c>
      <c r="B315" s="74" t="s">
        <v>1419</v>
      </c>
      <c r="C315" s="74" t="s">
        <v>1420</v>
      </c>
      <c r="D315" s="74">
        <v>10.237818181818183</v>
      </c>
      <c r="E315" s="74">
        <v>0</v>
      </c>
      <c r="F315" s="74">
        <v>0</v>
      </c>
      <c r="G315" s="74">
        <v>0</v>
      </c>
      <c r="H315" s="74">
        <v>0</v>
      </c>
      <c r="I315" s="74"/>
      <c r="J315" s="74">
        <v>9.8035555555555565</v>
      </c>
      <c r="K315" s="74">
        <v>0</v>
      </c>
      <c r="L315" s="74">
        <v>0</v>
      </c>
      <c r="M315" s="74">
        <v>0</v>
      </c>
      <c r="N315" s="74">
        <v>0</v>
      </c>
    </row>
    <row r="316" spans="1:14" x14ac:dyDescent="0.25">
      <c r="A316" t="e">
        <f>VLOOKUP(VALUE(RIGHT(B316,4)),'Waste Lookups'!$B$1:$C$295,2,FALSE)</f>
        <v>#N/A</v>
      </c>
      <c r="B316" s="74" t="s">
        <v>1421</v>
      </c>
      <c r="C316" s="74" t="s">
        <v>1422</v>
      </c>
      <c r="D316" s="74">
        <v>7.0220606060606068</v>
      </c>
      <c r="E316" s="74">
        <v>31.87086</v>
      </c>
      <c r="F316" s="74">
        <v>0</v>
      </c>
      <c r="G316" s="74">
        <v>19.366109999999999</v>
      </c>
      <c r="H316" s="74">
        <v>0</v>
      </c>
      <c r="I316" s="74"/>
      <c r="J316" s="74">
        <v>7.5079619075402437</v>
      </c>
      <c r="K316" s="74">
        <v>34.076208717712518</v>
      </c>
      <c r="L316" s="74">
        <v>0</v>
      </c>
      <c r="M316" s="74">
        <v>20.706175058036699</v>
      </c>
      <c r="N316" s="74">
        <v>0</v>
      </c>
    </row>
    <row r="317" spans="1:14" x14ac:dyDescent="0.25">
      <c r="A317" t="e">
        <f>VLOOKUP(VALUE(RIGHT(B317,4)),'Waste Lookups'!$B$1:$C$295,2,FALSE)</f>
        <v>#N/A</v>
      </c>
      <c r="B317" s="74" t="s">
        <v>1423</v>
      </c>
      <c r="C317" s="74" t="s">
        <v>1424</v>
      </c>
      <c r="D317" s="74">
        <v>5.4543030303030298</v>
      </c>
      <c r="E317" s="74">
        <v>9.1070399999999996</v>
      </c>
      <c r="F317" s="74">
        <v>0</v>
      </c>
      <c r="G317" s="74">
        <v>2.97</v>
      </c>
      <c r="H317" s="74">
        <v>0</v>
      </c>
      <c r="I317" s="74"/>
      <c r="J317" s="74">
        <v>3.6028455466124725</v>
      </c>
      <c r="K317" s="74">
        <v>6.0156647557953375</v>
      </c>
      <c r="L317" s="74">
        <v>0</v>
      </c>
      <c r="M317" s="74">
        <v>1.9618365928679518</v>
      </c>
      <c r="N317" s="74">
        <v>0</v>
      </c>
    </row>
    <row r="318" spans="1:14" x14ac:dyDescent="0.25">
      <c r="A318" t="e">
        <f>VLOOKUP(VALUE(RIGHT(B318,4)),'Waste Lookups'!$B$1:$C$295,2,FALSE)</f>
        <v>#N/A</v>
      </c>
      <c r="B318" s="74" t="s">
        <v>1425</v>
      </c>
      <c r="C318" s="74" t="s">
        <v>1426</v>
      </c>
      <c r="D318" s="74">
        <v>10.943545454545456</v>
      </c>
      <c r="E318" s="74">
        <v>0</v>
      </c>
      <c r="F318" s="74">
        <v>0</v>
      </c>
      <c r="G318" s="74">
        <v>0</v>
      </c>
      <c r="H318" s="74">
        <v>0</v>
      </c>
      <c r="I318" s="74"/>
      <c r="J318" s="74">
        <v>11.517944444444446</v>
      </c>
      <c r="K318" s="74">
        <v>0</v>
      </c>
      <c r="L318" s="74">
        <v>0</v>
      </c>
      <c r="M318" s="74">
        <v>0</v>
      </c>
      <c r="N318" s="74">
        <v>0</v>
      </c>
    </row>
    <row r="319" spans="1:14" x14ac:dyDescent="0.25">
      <c r="A319" t="e">
        <f>VLOOKUP(VALUE(RIGHT(B319,4)),'Waste Lookups'!$B$1:$C$295,2,FALSE)</f>
        <v>#N/A</v>
      </c>
      <c r="B319" s="74" t="s">
        <v>1427</v>
      </c>
      <c r="C319" s="74" t="s">
        <v>1428</v>
      </c>
      <c r="D319" s="74">
        <v>4.8349393939393943</v>
      </c>
      <c r="E319" s="74">
        <v>7.8566399999999987</v>
      </c>
      <c r="F319" s="74">
        <v>0</v>
      </c>
      <c r="G319" s="74">
        <v>7.9379999999999997</v>
      </c>
      <c r="H319" s="74">
        <v>0</v>
      </c>
      <c r="I319" s="74"/>
      <c r="J319" s="74">
        <v>2.6648319393722275</v>
      </c>
      <c r="K319" s="74">
        <v>4.33027665959857</v>
      </c>
      <c r="L319" s="74">
        <v>0</v>
      </c>
      <c r="M319" s="74">
        <v>4.3751191506666274</v>
      </c>
      <c r="N319" s="74">
        <v>0</v>
      </c>
    </row>
    <row r="320" spans="1:14" x14ac:dyDescent="0.25">
      <c r="A320" t="e">
        <f>VLOOKUP(VALUE(RIGHT(B320,4)),'Waste Lookups'!$B$1:$C$295,2,FALSE)</f>
        <v>#N/A</v>
      </c>
      <c r="B320" s="74" t="s">
        <v>1429</v>
      </c>
      <c r="C320" s="74" t="s">
        <v>1430</v>
      </c>
      <c r="D320" s="74">
        <v>9.2386060606060596</v>
      </c>
      <c r="E320" s="74">
        <v>26.517419999999998</v>
      </c>
      <c r="F320" s="74">
        <v>0</v>
      </c>
      <c r="G320" s="74">
        <v>5.6429999999999998</v>
      </c>
      <c r="H320" s="74">
        <v>0</v>
      </c>
      <c r="I320" s="74"/>
      <c r="J320" s="74">
        <v>10.82146180573141</v>
      </c>
      <c r="K320" s="74">
        <v>31.060664978469013</v>
      </c>
      <c r="L320" s="74">
        <v>0</v>
      </c>
      <c r="M320" s="74">
        <v>6.6098184692741837</v>
      </c>
      <c r="N320" s="74">
        <v>0</v>
      </c>
    </row>
    <row r="321" spans="1:14" x14ac:dyDescent="0.25">
      <c r="A321" t="str">
        <f>VLOOKUP(VALUE(RIGHT(B321,4)),'Waste Lookups'!$B$1:$C$295,2,FALSE)</f>
        <v>St Peters House</v>
      </c>
      <c r="B321" s="74" t="s">
        <v>677</v>
      </c>
      <c r="C321" s="74" t="s">
        <v>1431</v>
      </c>
      <c r="D321" s="74">
        <v>0</v>
      </c>
      <c r="E321" s="74">
        <v>15.242699999999997</v>
      </c>
      <c r="F321" s="74">
        <v>0</v>
      </c>
      <c r="G321" s="74">
        <v>0</v>
      </c>
      <c r="H321" s="74">
        <v>0</v>
      </c>
      <c r="I321" s="74"/>
      <c r="J321" s="74">
        <v>0</v>
      </c>
      <c r="K321" s="74">
        <v>20.619060000000001</v>
      </c>
      <c r="L321" s="74">
        <v>0</v>
      </c>
      <c r="M321" s="74">
        <v>0</v>
      </c>
      <c r="N321" s="74">
        <v>0</v>
      </c>
    </row>
    <row r="322" spans="1:14" x14ac:dyDescent="0.25">
      <c r="A322" t="e">
        <f>VLOOKUP(VALUE(RIGHT(B322,4)),'Waste Lookups'!$B$1:$C$295,2,FALSE)</f>
        <v>#N/A</v>
      </c>
      <c r="B322" s="74" t="s">
        <v>1432</v>
      </c>
      <c r="C322" s="74" t="s">
        <v>1433</v>
      </c>
      <c r="D322" s="74">
        <v>2.6063030303030303</v>
      </c>
      <c r="E322" s="74">
        <v>4.8675599999999992</v>
      </c>
      <c r="F322" s="74">
        <v>0</v>
      </c>
      <c r="G322" s="74">
        <v>2.8512000000000004</v>
      </c>
      <c r="H322" s="74">
        <v>0</v>
      </c>
      <c r="I322" s="74"/>
      <c r="J322" s="74">
        <v>2.6455138985293907</v>
      </c>
      <c r="K322" s="74">
        <v>4.9407906456788764</v>
      </c>
      <c r="L322" s="74">
        <v>0</v>
      </c>
      <c r="M322" s="74">
        <v>2.8940952528493971</v>
      </c>
      <c r="N322" s="74">
        <v>0</v>
      </c>
    </row>
    <row r="323" spans="1:14" x14ac:dyDescent="0.25">
      <c r="A323" t="e">
        <f>VLOOKUP(VALUE(RIGHT(B323,4)),'Waste Lookups'!$B$1:$C$295,2,FALSE)</f>
        <v>#N/A</v>
      </c>
      <c r="B323" s="74" t="s">
        <v>1434</v>
      </c>
      <c r="C323" s="74" t="s">
        <v>1435</v>
      </c>
      <c r="D323" s="74">
        <v>13.328060606060607</v>
      </c>
      <c r="E323" s="74">
        <v>28.577100000000005</v>
      </c>
      <c r="F323" s="74">
        <v>0</v>
      </c>
      <c r="G323" s="74">
        <v>13.304519999999998</v>
      </c>
      <c r="H323" s="74">
        <v>0</v>
      </c>
      <c r="I323" s="74"/>
      <c r="J323" s="74">
        <v>11.534037122115709</v>
      </c>
      <c r="K323" s="74">
        <v>24.730479698789122</v>
      </c>
      <c r="L323" s="74">
        <v>0</v>
      </c>
      <c r="M323" s="74">
        <v>11.513665199132655</v>
      </c>
      <c r="N323" s="74">
        <v>0</v>
      </c>
    </row>
    <row r="324" spans="1:14" x14ac:dyDescent="0.25">
      <c r="A324" t="e">
        <f>VLOOKUP(VALUE(RIGHT(B324,4)),'Waste Lookups'!$B$1:$C$295,2,FALSE)</f>
        <v>#N/A</v>
      </c>
      <c r="B324" s="74" t="s">
        <v>1436</v>
      </c>
      <c r="C324" s="74" t="s">
        <v>1437</v>
      </c>
      <c r="D324" s="74">
        <v>1.6302121212121212</v>
      </c>
      <c r="E324" s="74">
        <v>5.2501199999999999</v>
      </c>
      <c r="F324" s="74">
        <v>0</v>
      </c>
      <c r="G324" s="74">
        <v>2.6459999999999999</v>
      </c>
      <c r="H324" s="74">
        <v>0</v>
      </c>
      <c r="I324" s="74"/>
      <c r="J324" s="74">
        <v>0.97301249600498863</v>
      </c>
      <c r="K324" s="74">
        <v>3.1335997929689103</v>
      </c>
      <c r="L324" s="74">
        <v>0</v>
      </c>
      <c r="M324" s="74">
        <v>1.5792981974118188</v>
      </c>
      <c r="N324" s="74">
        <v>0</v>
      </c>
    </row>
    <row r="325" spans="1:14" x14ac:dyDescent="0.25">
      <c r="A325" t="str">
        <f>VLOOKUP(VALUE(RIGHT(B325,4)),'Waste Lookups'!$B$1:$C$295,2,FALSE)</f>
        <v>Silver Street Health Centre</v>
      </c>
      <c r="B325" s="74" t="s">
        <v>678</v>
      </c>
      <c r="C325" s="74" t="s">
        <v>1438</v>
      </c>
      <c r="D325" s="74">
        <v>0</v>
      </c>
      <c r="E325" s="74">
        <v>8.7879000000000023</v>
      </c>
      <c r="F325" s="74">
        <v>0</v>
      </c>
      <c r="G325" s="74">
        <v>0</v>
      </c>
      <c r="H325" s="74">
        <v>9.252423585091698</v>
      </c>
      <c r="I325" s="74"/>
      <c r="J325" s="74">
        <v>0</v>
      </c>
      <c r="K325" s="74">
        <v>20.197929861417432</v>
      </c>
      <c r="L325" s="74">
        <v>0</v>
      </c>
      <c r="M325" s="74">
        <v>0</v>
      </c>
      <c r="N325" s="74">
        <v>21.265581381195343</v>
      </c>
    </row>
    <row r="326" spans="1:14" x14ac:dyDescent="0.25">
      <c r="A326" t="e">
        <f>VLOOKUP(VALUE(RIGHT(B326,4)),'Waste Lookups'!$B$1:$C$295,2,FALSE)</f>
        <v>#N/A</v>
      </c>
      <c r="B326" s="74" t="s">
        <v>1439</v>
      </c>
      <c r="C326" s="74" t="s">
        <v>1440</v>
      </c>
      <c r="D326" s="74">
        <v>0</v>
      </c>
      <c r="E326" s="74">
        <v>0</v>
      </c>
      <c r="F326" s="74">
        <v>0</v>
      </c>
      <c r="G326" s="74">
        <v>0</v>
      </c>
      <c r="H326" s="74">
        <v>0</v>
      </c>
      <c r="I326" s="74"/>
      <c r="J326" s="74">
        <v>0</v>
      </c>
      <c r="K326" s="74">
        <v>0</v>
      </c>
      <c r="L326" s="74">
        <v>0</v>
      </c>
      <c r="M326" s="74">
        <v>0</v>
      </c>
      <c r="N326" s="74">
        <v>0</v>
      </c>
    </row>
    <row r="327" spans="1:14" x14ac:dyDescent="0.25">
      <c r="A327" t="e">
        <f>VLOOKUP(VALUE(RIGHT(B327,4)),'Waste Lookups'!$B$1:$C$295,2,FALSE)</f>
        <v>#N/A</v>
      </c>
      <c r="B327" s="74" t="s">
        <v>1441</v>
      </c>
      <c r="C327" s="74" t="s">
        <v>1442</v>
      </c>
      <c r="D327" s="74">
        <v>0.40109090909090911</v>
      </c>
      <c r="E327" s="74">
        <v>7.4382599999999996</v>
      </c>
      <c r="F327" s="74">
        <v>0</v>
      </c>
      <c r="G327" s="74">
        <v>0</v>
      </c>
      <c r="H327" s="74">
        <v>3.3394596726483927</v>
      </c>
      <c r="I327" s="74"/>
      <c r="J327" s="74">
        <v>0.35934606317774631</v>
      </c>
      <c r="K327" s="74">
        <v>6.6640988048090506</v>
      </c>
      <c r="L327" s="74">
        <v>0</v>
      </c>
      <c r="M327" s="74">
        <v>0</v>
      </c>
      <c r="N327" s="74">
        <v>2.991894503984021</v>
      </c>
    </row>
    <row r="328" spans="1:14" x14ac:dyDescent="0.25">
      <c r="A328" t="e">
        <f>VLOOKUP(VALUE(RIGHT(B328,4)),'Waste Lookups'!$B$1:$C$295,2,FALSE)</f>
        <v>#N/A</v>
      </c>
      <c r="B328" s="74" t="s">
        <v>1443</v>
      </c>
      <c r="C328" s="74" t="s">
        <v>1444</v>
      </c>
      <c r="D328" s="74">
        <v>9.6411515151515168</v>
      </c>
      <c r="E328" s="74">
        <v>24.276</v>
      </c>
      <c r="F328" s="74">
        <v>0</v>
      </c>
      <c r="G328" s="74">
        <v>3.6450000000000005</v>
      </c>
      <c r="H328" s="74">
        <v>7.1188799053441132</v>
      </c>
      <c r="I328" s="74"/>
      <c r="J328" s="74">
        <v>20.020186841041848</v>
      </c>
      <c r="K328" s="74">
        <v>50.409959327923083</v>
      </c>
      <c r="L328" s="74">
        <v>0</v>
      </c>
      <c r="M328" s="74">
        <v>7.5689694245460384</v>
      </c>
      <c r="N328" s="74">
        <v>14.782602013872371</v>
      </c>
    </row>
    <row r="329" spans="1:14" x14ac:dyDescent="0.25">
      <c r="A329" t="e">
        <f>VLOOKUP(VALUE(RIGHT(B329,4)),'Waste Lookups'!$B$1:$C$295,2,FALSE)</f>
        <v>#N/A</v>
      </c>
      <c r="B329" s="74" t="s">
        <v>1445</v>
      </c>
      <c r="C329" s="74" t="s">
        <v>1446</v>
      </c>
      <c r="D329" s="74">
        <v>4.5143030303030312</v>
      </c>
      <c r="E329" s="74">
        <v>11.551259999999999</v>
      </c>
      <c r="F329" s="74">
        <v>0</v>
      </c>
      <c r="G329" s="74">
        <v>0</v>
      </c>
      <c r="H329" s="74">
        <v>6.8962492605008876</v>
      </c>
      <c r="I329" s="74"/>
      <c r="J329" s="74">
        <v>8.0633761874745602</v>
      </c>
      <c r="K329" s="74">
        <v>20.63267667103753</v>
      </c>
      <c r="L329" s="74">
        <v>0</v>
      </c>
      <c r="M329" s="74">
        <v>0</v>
      </c>
      <c r="N329" s="74">
        <v>12.317970614010637</v>
      </c>
    </row>
    <row r="330" spans="1:14" x14ac:dyDescent="0.25">
      <c r="A330" t="e">
        <f>VLOOKUP(VALUE(RIGHT(B330,4)),'Waste Lookups'!$B$1:$C$295,2,FALSE)</f>
        <v>#N/A</v>
      </c>
      <c r="B330" s="74" t="s">
        <v>1447</v>
      </c>
      <c r="C330" s="74" t="s">
        <v>1448</v>
      </c>
      <c r="D330" s="74">
        <v>0</v>
      </c>
      <c r="E330" s="74">
        <v>0</v>
      </c>
      <c r="F330" s="74">
        <v>0</v>
      </c>
      <c r="G330" s="74">
        <v>0</v>
      </c>
      <c r="H330" s="74">
        <v>1.7015342141589429</v>
      </c>
      <c r="I330" s="74"/>
      <c r="J330" s="74">
        <v>0</v>
      </c>
      <c r="K330" s="74">
        <v>0</v>
      </c>
      <c r="L330" s="74">
        <v>0</v>
      </c>
      <c r="M330" s="74">
        <v>0</v>
      </c>
      <c r="N330" s="74">
        <v>28.690383224873461</v>
      </c>
    </row>
    <row r="331" spans="1:14" x14ac:dyDescent="0.25">
      <c r="A331" t="e">
        <f>VLOOKUP(VALUE(RIGHT(B331,4)),'Waste Lookups'!$B$1:$C$295,2,FALSE)</f>
        <v>#N/A</v>
      </c>
      <c r="B331" s="74" t="s">
        <v>1449</v>
      </c>
      <c r="C331" s="74" t="s">
        <v>1450</v>
      </c>
      <c r="D331" s="74">
        <v>0.64236363636363636</v>
      </c>
      <c r="E331" s="74">
        <v>8.4496199999999995</v>
      </c>
      <c r="F331" s="74">
        <v>0</v>
      </c>
      <c r="G331" s="74">
        <v>0</v>
      </c>
      <c r="H331" s="74">
        <v>3.8960362847564585</v>
      </c>
      <c r="I331" s="74"/>
      <c r="J331" s="74">
        <v>0.76119459819495783</v>
      </c>
      <c r="K331" s="74">
        <v>10.012716686781895</v>
      </c>
      <c r="L331" s="74">
        <v>0</v>
      </c>
      <c r="M331" s="74">
        <v>0</v>
      </c>
      <c r="N331" s="74">
        <v>4.6167647208618527</v>
      </c>
    </row>
    <row r="332" spans="1:14" x14ac:dyDescent="0.25">
      <c r="A332" t="e">
        <f>VLOOKUP(VALUE(RIGHT(B332,4)),'Waste Lookups'!$B$1:$C$295,2,FALSE)</f>
        <v>#N/A</v>
      </c>
      <c r="B332" s="74" t="s">
        <v>1451</v>
      </c>
      <c r="C332" s="74" t="s">
        <v>1452</v>
      </c>
      <c r="D332" s="74">
        <v>0.4021515151515152</v>
      </c>
      <c r="E332" s="74">
        <v>5.5459200000000006</v>
      </c>
      <c r="F332" s="74">
        <v>0</v>
      </c>
      <c r="G332" s="74">
        <v>0</v>
      </c>
      <c r="H332" s="74">
        <v>3.7105107473871026</v>
      </c>
      <c r="I332" s="74"/>
      <c r="J332" s="74">
        <v>0.26636604806812053</v>
      </c>
      <c r="K332" s="74">
        <v>3.6733537924018074</v>
      </c>
      <c r="L332" s="74">
        <v>0</v>
      </c>
      <c r="M332" s="74">
        <v>0</v>
      </c>
      <c r="N332" s="74">
        <v>2.4576659464366735</v>
      </c>
    </row>
    <row r="333" spans="1:14" x14ac:dyDescent="0.25">
      <c r="A333" t="e">
        <f>VLOOKUP(VALUE(RIGHT(B333,4)),'Waste Lookups'!$B$1:$C$295,2,FALSE)</f>
        <v>#N/A</v>
      </c>
      <c r="B333" s="74" t="s">
        <v>1453</v>
      </c>
      <c r="C333" s="74" t="s">
        <v>1454</v>
      </c>
      <c r="D333" s="74">
        <v>5.5760000000000005</v>
      </c>
      <c r="E333" s="74">
        <v>7.7751599999999996</v>
      </c>
      <c r="F333" s="74">
        <v>0</v>
      </c>
      <c r="G333" s="74">
        <v>0</v>
      </c>
      <c r="H333" s="74">
        <v>3.4189706172352587</v>
      </c>
      <c r="I333" s="74"/>
      <c r="J333" s="74">
        <v>14.398245611612115</v>
      </c>
      <c r="K333" s="74">
        <v>20.076876497414283</v>
      </c>
      <c r="L333" s="74">
        <v>0</v>
      </c>
      <c r="M333" s="74">
        <v>0</v>
      </c>
      <c r="N333" s="74">
        <v>8.8284036380628272</v>
      </c>
    </row>
    <row r="334" spans="1:14" x14ac:dyDescent="0.25">
      <c r="A334" t="e">
        <f>VLOOKUP(VALUE(RIGHT(B334,4)),'Waste Lookups'!$B$1:$C$295,2,FALSE)</f>
        <v>#N/A</v>
      </c>
      <c r="B334" s="74" t="s">
        <v>1455</v>
      </c>
      <c r="C334" s="74" t="s">
        <v>1456</v>
      </c>
      <c r="D334" s="74">
        <v>0</v>
      </c>
      <c r="E334" s="74">
        <v>34.096919999999997</v>
      </c>
      <c r="F334" s="74">
        <v>0</v>
      </c>
      <c r="G334" s="74">
        <v>0</v>
      </c>
      <c r="H334" s="74">
        <v>11.470778939065275</v>
      </c>
      <c r="I334" s="74"/>
      <c r="J334" s="74">
        <v>0</v>
      </c>
      <c r="K334" s="74">
        <v>44.655528205763062</v>
      </c>
      <c r="L334" s="74">
        <v>0</v>
      </c>
      <c r="M334" s="74">
        <v>0</v>
      </c>
      <c r="N334" s="74">
        <v>15.022872812427112</v>
      </c>
    </row>
    <row r="335" spans="1:14" x14ac:dyDescent="0.25">
      <c r="A335" t="e">
        <f>VLOOKUP(VALUE(RIGHT(B335,4)),'Waste Lookups'!$B$1:$C$295,2,FALSE)</f>
        <v>#N/A</v>
      </c>
      <c r="B335" s="74" t="s">
        <v>1457</v>
      </c>
      <c r="C335" s="74" t="s">
        <v>1458</v>
      </c>
      <c r="D335" s="74">
        <v>2.4084242424242426</v>
      </c>
      <c r="E335" s="74">
        <v>3.4770600000000003</v>
      </c>
      <c r="F335" s="74">
        <v>0</v>
      </c>
      <c r="G335" s="74">
        <v>0</v>
      </c>
      <c r="H335" s="74">
        <v>0</v>
      </c>
      <c r="I335" s="74"/>
      <c r="J335" s="74">
        <v>10.336963835063116</v>
      </c>
      <c r="K335" s="74">
        <v>14.92355160657503</v>
      </c>
      <c r="L335" s="74">
        <v>0</v>
      </c>
      <c r="M335" s="74">
        <v>0</v>
      </c>
      <c r="N335" s="74">
        <v>0</v>
      </c>
    </row>
    <row r="336" spans="1:14" x14ac:dyDescent="0.25">
      <c r="A336" t="e">
        <f>VLOOKUP(VALUE(RIGHT(B336,4)),'Waste Lookups'!$B$1:$C$295,2,FALSE)</f>
        <v>#N/A</v>
      </c>
      <c r="B336" s="74" t="s">
        <v>1459</v>
      </c>
      <c r="C336" s="74" t="s">
        <v>1460</v>
      </c>
      <c r="D336" s="74">
        <v>0</v>
      </c>
      <c r="E336" s="74">
        <v>2.3247599999999999</v>
      </c>
      <c r="F336" s="74">
        <v>0</v>
      </c>
      <c r="G336" s="74">
        <v>0</v>
      </c>
      <c r="H336" s="74">
        <v>0</v>
      </c>
      <c r="I336" s="74"/>
      <c r="J336" s="74">
        <v>0</v>
      </c>
      <c r="K336" s="74">
        <v>4.3603999999999994</v>
      </c>
      <c r="L336" s="74">
        <v>0</v>
      </c>
      <c r="M336" s="74">
        <v>0</v>
      </c>
      <c r="N336" s="74">
        <v>0</v>
      </c>
    </row>
    <row r="337" spans="1:14" x14ac:dyDescent="0.25">
      <c r="A337" t="e">
        <f>VLOOKUP(VALUE(RIGHT(B337,4)),'Waste Lookups'!$B$1:$C$295,2,FALSE)</f>
        <v>#N/A</v>
      </c>
      <c r="B337" s="74" t="s">
        <v>1461</v>
      </c>
      <c r="C337" s="74" t="s">
        <v>1462</v>
      </c>
      <c r="D337" s="74">
        <v>0</v>
      </c>
      <c r="E337" s="74">
        <v>0</v>
      </c>
      <c r="F337" s="74">
        <v>0</v>
      </c>
      <c r="G337" s="74">
        <v>0</v>
      </c>
      <c r="H337" s="74">
        <v>0</v>
      </c>
      <c r="I337" s="74"/>
      <c r="J337" s="74">
        <v>0</v>
      </c>
      <c r="K337" s="74">
        <v>0</v>
      </c>
      <c r="L337" s="74">
        <v>0</v>
      </c>
      <c r="M337" s="74">
        <v>0</v>
      </c>
      <c r="N337" s="74">
        <v>0</v>
      </c>
    </row>
    <row r="338" spans="1:14" x14ac:dyDescent="0.25">
      <c r="A338" t="e">
        <f>VLOOKUP(VALUE(RIGHT(B338,4)),'Waste Lookups'!$B$1:$C$295,2,FALSE)</f>
        <v>#N/A</v>
      </c>
      <c r="B338" s="74" t="s">
        <v>1463</v>
      </c>
      <c r="C338" s="74" t="s">
        <v>1464</v>
      </c>
      <c r="D338" s="74">
        <v>0</v>
      </c>
      <c r="E338" s="74">
        <v>5.6374799999999992</v>
      </c>
      <c r="F338" s="74">
        <v>0</v>
      </c>
      <c r="G338" s="74">
        <v>0</v>
      </c>
      <c r="H338" s="74">
        <v>0</v>
      </c>
      <c r="I338" s="74"/>
      <c r="J338" s="74">
        <v>0</v>
      </c>
      <c r="K338" s="74">
        <v>0</v>
      </c>
      <c r="L338" s="74">
        <v>0</v>
      </c>
      <c r="M338" s="74">
        <v>0</v>
      </c>
      <c r="N338" s="74">
        <v>0</v>
      </c>
    </row>
    <row r="339" spans="1:14" x14ac:dyDescent="0.25">
      <c r="A339" t="e">
        <f>VLOOKUP(VALUE(RIGHT(B339,4)),'Waste Lookups'!$B$1:$C$295,2,FALSE)</f>
        <v>#N/A</v>
      </c>
      <c r="B339" s="74" t="s">
        <v>1465</v>
      </c>
      <c r="C339" s="74" t="s">
        <v>1466</v>
      </c>
      <c r="D339" s="74">
        <v>0</v>
      </c>
      <c r="E339" s="74">
        <v>0</v>
      </c>
      <c r="F339" s="74">
        <v>0</v>
      </c>
      <c r="G339" s="74">
        <v>0</v>
      </c>
      <c r="H339" s="74">
        <v>0</v>
      </c>
      <c r="I339" s="74"/>
      <c r="J339" s="74">
        <v>0</v>
      </c>
      <c r="K339" s="74">
        <v>0</v>
      </c>
      <c r="L339" s="74">
        <v>0</v>
      </c>
      <c r="M339" s="74">
        <v>0</v>
      </c>
      <c r="N339" s="74">
        <v>0</v>
      </c>
    </row>
    <row r="340" spans="1:14" x14ac:dyDescent="0.25">
      <c r="A340" t="e">
        <f>VLOOKUP(VALUE(RIGHT(B340,4)),'Waste Lookups'!$B$1:$C$295,2,FALSE)</f>
        <v>#N/A</v>
      </c>
      <c r="B340" s="74" t="s">
        <v>1467</v>
      </c>
      <c r="C340" s="74" t="s">
        <v>1468</v>
      </c>
      <c r="D340" s="74">
        <v>5.5966666666666667</v>
      </c>
      <c r="E340" s="74">
        <v>15.893640000000001</v>
      </c>
      <c r="F340" s="74">
        <v>0</v>
      </c>
      <c r="G340" s="74">
        <v>0</v>
      </c>
      <c r="H340" s="74">
        <v>0.5720370735555117</v>
      </c>
      <c r="I340" s="74"/>
      <c r="J340" s="74">
        <v>7.0473854318457327</v>
      </c>
      <c r="K340" s="74">
        <v>20.013449731090038</v>
      </c>
      <c r="L340" s="74">
        <v>0</v>
      </c>
      <c r="M340" s="74">
        <v>0</v>
      </c>
      <c r="N340" s="74">
        <v>0.72031549826994246</v>
      </c>
    </row>
    <row r="341" spans="1:14" x14ac:dyDescent="0.25">
      <c r="A341" t="e">
        <f>VLOOKUP(VALUE(RIGHT(B341,4)),'Waste Lookups'!$B$1:$C$295,2,FALSE)</f>
        <v>#N/A</v>
      </c>
      <c r="B341" s="74" t="s">
        <v>1469</v>
      </c>
      <c r="C341" s="74" t="s">
        <v>1470</v>
      </c>
      <c r="D341" s="74">
        <v>0</v>
      </c>
      <c r="E341" s="74">
        <v>1.9616400000000001</v>
      </c>
      <c r="F341" s="74">
        <v>0</v>
      </c>
      <c r="G341" s="74">
        <v>0</v>
      </c>
      <c r="H341" s="74">
        <v>0</v>
      </c>
      <c r="I341" s="74"/>
      <c r="J341" s="74">
        <v>0</v>
      </c>
      <c r="K341" s="74">
        <v>-1.7981699999999998</v>
      </c>
      <c r="L341" s="74">
        <v>0</v>
      </c>
      <c r="M341" s="74">
        <v>0</v>
      </c>
      <c r="N341" s="74">
        <v>0</v>
      </c>
    </row>
    <row r="342" spans="1:14" x14ac:dyDescent="0.25">
      <c r="A342" t="str">
        <f>VLOOKUP(VALUE(RIGHT(B342,4)),'Waste Lookups'!$B$1:$C$295,2,FALSE)</f>
        <v>Sherwood Business Park</v>
      </c>
      <c r="B342" s="74" t="s">
        <v>679</v>
      </c>
      <c r="C342" s="74" t="s">
        <v>1471</v>
      </c>
      <c r="D342" s="74">
        <v>0</v>
      </c>
      <c r="E342" s="74">
        <v>15.648060000000001</v>
      </c>
      <c r="F342" s="74">
        <v>0</v>
      </c>
      <c r="G342" s="74">
        <v>10.794239999999999</v>
      </c>
      <c r="H342" s="74">
        <v>1.2633405639913233</v>
      </c>
      <c r="I342" s="74"/>
      <c r="J342" s="74">
        <v>0</v>
      </c>
      <c r="K342" s="74">
        <v>9.9268498390446016</v>
      </c>
      <c r="L342" s="74">
        <v>0</v>
      </c>
      <c r="M342" s="74">
        <v>6.8476731049477539</v>
      </c>
      <c r="N342" s="74">
        <v>0.80144069452160716</v>
      </c>
    </row>
    <row r="343" spans="1:14" x14ac:dyDescent="0.25">
      <c r="A343" t="e">
        <f>VLOOKUP(VALUE(RIGHT(B343,4)),'Waste Lookups'!$B$1:$C$295,2,FALSE)</f>
        <v>#N/A</v>
      </c>
      <c r="B343" s="74" t="s">
        <v>1472</v>
      </c>
      <c r="C343" s="74" t="s">
        <v>1473</v>
      </c>
      <c r="D343" s="74">
        <v>0</v>
      </c>
      <c r="E343" s="74">
        <v>25.06992</v>
      </c>
      <c r="F343" s="74">
        <v>0</v>
      </c>
      <c r="G343" s="74">
        <v>0</v>
      </c>
      <c r="H343" s="74">
        <v>6.4725442713468748</v>
      </c>
      <c r="I343" s="74"/>
      <c r="J343" s="74">
        <v>0</v>
      </c>
      <c r="K343" s="74">
        <v>9.9641522986037288</v>
      </c>
      <c r="L343" s="74">
        <v>0</v>
      </c>
      <c r="M343" s="74">
        <v>0</v>
      </c>
      <c r="N343" s="74">
        <v>2.5725417902871395</v>
      </c>
    </row>
    <row r="344" spans="1:14" x14ac:dyDescent="0.25">
      <c r="A344" t="e">
        <f>VLOOKUP(VALUE(RIGHT(B344,4)),'Waste Lookups'!$B$1:$C$295,2,FALSE)</f>
        <v>#N/A</v>
      </c>
      <c r="B344" s="74" t="s">
        <v>1474</v>
      </c>
      <c r="C344" s="74" t="s">
        <v>1475</v>
      </c>
      <c r="D344" s="74">
        <v>2.0009999999999999</v>
      </c>
      <c r="E344" s="74">
        <v>10.620900000000001</v>
      </c>
      <c r="F344" s="74">
        <v>0</v>
      </c>
      <c r="G344" s="74">
        <v>0</v>
      </c>
      <c r="H344" s="74">
        <v>4.1786093472687833</v>
      </c>
      <c r="I344" s="74"/>
      <c r="J344" s="74">
        <v>2.6104917576152471</v>
      </c>
      <c r="K344" s="74">
        <v>13.855957975240267</v>
      </c>
      <c r="L344" s="74">
        <v>0</v>
      </c>
      <c r="M344" s="74">
        <v>0</v>
      </c>
      <c r="N344" s="74">
        <v>5.4513869362014917</v>
      </c>
    </row>
    <row r="345" spans="1:14" x14ac:dyDescent="0.25">
      <c r="A345" t="e">
        <f>VLOOKUP(VALUE(RIGHT(B345,4)),'Waste Lookups'!$B$1:$C$295,2,FALSE)</f>
        <v>#N/A</v>
      </c>
      <c r="B345" s="74" t="s">
        <v>1476</v>
      </c>
      <c r="C345" s="74" t="s">
        <v>1477</v>
      </c>
      <c r="D345" s="74">
        <v>7.6902727272727276</v>
      </c>
      <c r="E345" s="74">
        <v>14.023199999999999</v>
      </c>
      <c r="F345" s="74">
        <v>0</v>
      </c>
      <c r="G345" s="74">
        <v>0</v>
      </c>
      <c r="H345" s="74">
        <v>0</v>
      </c>
      <c r="I345" s="74"/>
      <c r="J345" s="74">
        <v>6.7504484850225337</v>
      </c>
      <c r="K345" s="74">
        <v>12.309431999655384</v>
      </c>
      <c r="L345" s="74">
        <v>0</v>
      </c>
      <c r="M345" s="74">
        <v>0</v>
      </c>
      <c r="N345" s="74">
        <v>0</v>
      </c>
    </row>
    <row r="346" spans="1:14" x14ac:dyDescent="0.25">
      <c r="A346" t="e">
        <f>VLOOKUP(VALUE(RIGHT(B346,4)),'Waste Lookups'!$B$1:$C$295,2,FALSE)</f>
        <v>#N/A</v>
      </c>
      <c r="B346" s="74" t="s">
        <v>1478</v>
      </c>
      <c r="C346" s="74" t="s">
        <v>1479</v>
      </c>
      <c r="D346" s="74">
        <v>0</v>
      </c>
      <c r="E346" s="74">
        <v>0.46439999999999998</v>
      </c>
      <c r="F346" s="74">
        <v>0</v>
      </c>
      <c r="G346" s="74">
        <v>0</v>
      </c>
      <c r="H346" s="74">
        <v>0</v>
      </c>
      <c r="I346" s="74"/>
      <c r="J346" s="74">
        <v>0</v>
      </c>
      <c r="K346" s="74">
        <v>3.1085999999999996</v>
      </c>
      <c r="L346" s="74">
        <v>0</v>
      </c>
      <c r="M346" s="74">
        <v>0</v>
      </c>
      <c r="N346" s="74">
        <v>0</v>
      </c>
    </row>
    <row r="347" spans="1:14" x14ac:dyDescent="0.25">
      <c r="A347" t="e">
        <f>VLOOKUP(VALUE(RIGHT(B347,4)),'Waste Lookups'!$B$1:$C$295,2,FALSE)</f>
        <v>#N/A</v>
      </c>
      <c r="B347" s="74" t="s">
        <v>1480</v>
      </c>
      <c r="C347" s="74" t="s">
        <v>1481</v>
      </c>
      <c r="D347" s="74">
        <v>2.8265454545454545</v>
      </c>
      <c r="E347" s="74">
        <v>0</v>
      </c>
      <c r="F347" s="74">
        <v>0</v>
      </c>
      <c r="G347" s="74">
        <v>0</v>
      </c>
      <c r="H347" s="74">
        <v>0</v>
      </c>
      <c r="I347" s="74"/>
      <c r="J347" s="74">
        <v>4.4363611111111112</v>
      </c>
      <c r="K347" s="74">
        <v>0</v>
      </c>
      <c r="L347" s="74">
        <v>0</v>
      </c>
      <c r="M347" s="74">
        <v>0</v>
      </c>
      <c r="N347" s="74">
        <v>0</v>
      </c>
    </row>
    <row r="348" spans="1:14" x14ac:dyDescent="0.25">
      <c r="A348" t="e">
        <f>VLOOKUP(VALUE(RIGHT(B348,4)),'Waste Lookups'!$B$1:$C$295,2,FALSE)</f>
        <v>#N/A</v>
      </c>
      <c r="B348" s="74" t="s">
        <v>1482</v>
      </c>
      <c r="C348" s="74" t="s">
        <v>1483</v>
      </c>
      <c r="D348" s="74">
        <v>3.1232424242424246</v>
      </c>
      <c r="E348" s="74">
        <v>8.6154599999999988</v>
      </c>
      <c r="F348" s="74">
        <v>0</v>
      </c>
      <c r="G348" s="74">
        <v>0</v>
      </c>
      <c r="H348" s="74">
        <v>0</v>
      </c>
      <c r="I348" s="74"/>
      <c r="J348" s="74">
        <v>4.6063746406405279</v>
      </c>
      <c r="K348" s="74">
        <v>12.706678211531756</v>
      </c>
      <c r="L348" s="74">
        <v>0</v>
      </c>
      <c r="M348" s="74">
        <v>0</v>
      </c>
      <c r="N348" s="74">
        <v>0</v>
      </c>
    </row>
    <row r="349" spans="1:14" x14ac:dyDescent="0.25">
      <c r="A349" t="e">
        <f>VLOOKUP(VALUE(RIGHT(B349,4)),'Waste Lookups'!$B$1:$C$295,2,FALSE)</f>
        <v>#N/A</v>
      </c>
      <c r="B349" s="74" t="s">
        <v>1484</v>
      </c>
      <c r="C349" s="74" t="s">
        <v>1485</v>
      </c>
      <c r="D349" s="74">
        <v>0</v>
      </c>
      <c r="E349" s="74">
        <v>1.0632600000000001</v>
      </c>
      <c r="F349" s="74">
        <v>0</v>
      </c>
      <c r="G349" s="74">
        <v>0</v>
      </c>
      <c r="H349" s="74">
        <v>0</v>
      </c>
      <c r="I349" s="74"/>
      <c r="J349" s="74">
        <v>0</v>
      </c>
      <c r="K349" s="74">
        <v>4.2824099999999996</v>
      </c>
      <c r="L349" s="74">
        <v>0</v>
      </c>
      <c r="M349" s="74">
        <v>0</v>
      </c>
      <c r="N349" s="74">
        <v>0</v>
      </c>
    </row>
    <row r="350" spans="1:14" x14ac:dyDescent="0.25">
      <c r="A350" t="e">
        <f>VLOOKUP(VALUE(RIGHT(B350,4)),'Waste Lookups'!$B$1:$C$295,2,FALSE)</f>
        <v>#N/A</v>
      </c>
      <c r="B350" s="74" t="s">
        <v>1486</v>
      </c>
      <c r="C350" s="74" t="s">
        <v>1487</v>
      </c>
      <c r="D350" s="74">
        <v>0</v>
      </c>
      <c r="E350" s="74">
        <v>35.132399999999997</v>
      </c>
      <c r="F350" s="74">
        <v>0</v>
      </c>
      <c r="G350" s="74">
        <v>0</v>
      </c>
      <c r="H350" s="74">
        <v>15.204215342141588</v>
      </c>
      <c r="I350" s="74"/>
      <c r="J350" s="74">
        <v>0</v>
      </c>
      <c r="K350" s="74">
        <v>36.025803853662154</v>
      </c>
      <c r="L350" s="74">
        <v>0</v>
      </c>
      <c r="M350" s="74">
        <v>0</v>
      </c>
      <c r="N350" s="74">
        <v>15.59085287839242</v>
      </c>
    </row>
    <row r="351" spans="1:14" x14ac:dyDescent="0.25">
      <c r="A351" t="e">
        <f>VLOOKUP(VALUE(RIGHT(B351,4)),'Waste Lookups'!$B$1:$C$295,2,FALSE)</f>
        <v>#N/A</v>
      </c>
      <c r="B351" s="74" t="s">
        <v>1488</v>
      </c>
      <c r="C351" s="74" t="s">
        <v>1489</v>
      </c>
      <c r="D351" s="74">
        <v>12.232575757575757</v>
      </c>
      <c r="E351" s="74">
        <v>22.504560000000001</v>
      </c>
      <c r="F351" s="74">
        <v>3.781818181818182E-2</v>
      </c>
      <c r="G351" s="74">
        <v>0</v>
      </c>
      <c r="H351" s="74">
        <v>10.324717018339577</v>
      </c>
      <c r="I351" s="74"/>
      <c r="J351" s="74">
        <v>11.249368321172691</v>
      </c>
      <c r="K351" s="74">
        <v>20.695729939718071</v>
      </c>
      <c r="L351" s="74">
        <v>3.4778501677893148E-2</v>
      </c>
      <c r="M351" s="74">
        <v>0</v>
      </c>
      <c r="N351" s="74">
        <v>9.4948559365553944</v>
      </c>
    </row>
    <row r="352" spans="1:14" x14ac:dyDescent="0.25">
      <c r="A352" t="e">
        <f>VLOOKUP(VALUE(RIGHT(B352,4)),'Waste Lookups'!$B$1:$C$295,2,FALSE)</f>
        <v>#N/A</v>
      </c>
      <c r="B352" s="74" t="s">
        <v>1490</v>
      </c>
      <c r="C352" s="74" t="s">
        <v>1491</v>
      </c>
      <c r="D352" s="74">
        <v>0.30439393939393944</v>
      </c>
      <c r="E352" s="74">
        <v>5.9688599999999994</v>
      </c>
      <c r="F352" s="74">
        <v>0</v>
      </c>
      <c r="G352" s="74">
        <v>0</v>
      </c>
      <c r="H352" s="74">
        <v>0</v>
      </c>
      <c r="I352" s="74"/>
      <c r="J352" s="74">
        <v>0.52905374573667963</v>
      </c>
      <c r="K352" s="74">
        <v>10.374213583441376</v>
      </c>
      <c r="L352" s="74">
        <v>0</v>
      </c>
      <c r="M352" s="74">
        <v>0</v>
      </c>
      <c r="N352" s="74">
        <v>0</v>
      </c>
    </row>
    <row r="353" spans="1:14" x14ac:dyDescent="0.25">
      <c r="A353" t="e">
        <f>VLOOKUP(VALUE(RIGHT(B353,4)),'Waste Lookups'!$B$1:$C$295,2,FALSE)</f>
        <v>#N/A</v>
      </c>
      <c r="B353" s="74" t="s">
        <v>1492</v>
      </c>
      <c r="C353" s="74" t="s">
        <v>1493</v>
      </c>
      <c r="D353" s="74">
        <v>0</v>
      </c>
      <c r="E353" s="74">
        <v>15.74292</v>
      </c>
      <c r="F353" s="74">
        <v>0</v>
      </c>
      <c r="G353" s="74">
        <v>0</v>
      </c>
      <c r="H353" s="74">
        <v>1.7601956221652535</v>
      </c>
      <c r="I353" s="74"/>
      <c r="J353" s="74">
        <v>0</v>
      </c>
      <c r="K353" s="74">
        <v>48.791357973794803</v>
      </c>
      <c r="L353" s="74">
        <v>0</v>
      </c>
      <c r="M353" s="74">
        <v>0</v>
      </c>
      <c r="N353" s="74">
        <v>5.4552989346939018</v>
      </c>
    </row>
    <row r="354" spans="1:14" x14ac:dyDescent="0.25">
      <c r="A354" t="e">
        <f>VLOOKUP(VALUE(RIGHT(B354,4)),'Waste Lookups'!$B$1:$C$295,2,FALSE)</f>
        <v>#N/A</v>
      </c>
      <c r="B354" s="74" t="s">
        <v>1494</v>
      </c>
      <c r="C354" s="74" t="s">
        <v>1495</v>
      </c>
      <c r="D354" s="74">
        <v>0</v>
      </c>
      <c r="E354" s="74">
        <v>7.0078200000000006</v>
      </c>
      <c r="F354" s="74">
        <v>0</v>
      </c>
      <c r="G354" s="74">
        <v>0</v>
      </c>
      <c r="H354" s="74">
        <v>0</v>
      </c>
      <c r="I354" s="74"/>
      <c r="J354" s="74">
        <v>0</v>
      </c>
      <c r="K354" s="74">
        <v>13.151875</v>
      </c>
      <c r="L354" s="74">
        <v>0</v>
      </c>
      <c r="M354" s="74">
        <v>0</v>
      </c>
      <c r="N354" s="74">
        <v>0</v>
      </c>
    </row>
    <row r="355" spans="1:14" x14ac:dyDescent="0.25">
      <c r="A355" t="e">
        <f>VLOOKUP(VALUE(RIGHT(B355,4)),'Waste Lookups'!$B$1:$C$295,2,FALSE)</f>
        <v>#N/A</v>
      </c>
      <c r="B355" s="74" t="s">
        <v>1496</v>
      </c>
      <c r="C355" s="74" t="s">
        <v>1497</v>
      </c>
      <c r="D355" s="74">
        <v>7.7961515151515153</v>
      </c>
      <c r="E355" s="74">
        <v>9.0441000000000003</v>
      </c>
      <c r="F355" s="74">
        <v>0</v>
      </c>
      <c r="G355" s="74">
        <v>0</v>
      </c>
      <c r="H355" s="74">
        <v>0</v>
      </c>
      <c r="I355" s="74"/>
      <c r="J355" s="74">
        <v>2.5807542099528544</v>
      </c>
      <c r="K355" s="74">
        <v>2.9938616642933464</v>
      </c>
      <c r="L355" s="74">
        <v>0</v>
      </c>
      <c r="M355" s="74">
        <v>0</v>
      </c>
      <c r="N355" s="74">
        <v>0</v>
      </c>
    </row>
    <row r="356" spans="1:14" x14ac:dyDescent="0.25">
      <c r="A356" t="e">
        <f>VLOOKUP(VALUE(RIGHT(B356,4)),'Waste Lookups'!$B$1:$C$295,2,FALSE)</f>
        <v>#N/A</v>
      </c>
      <c r="B356" s="74" t="s">
        <v>1498</v>
      </c>
      <c r="C356" s="74" t="s">
        <v>1499</v>
      </c>
      <c r="D356" s="74">
        <v>0</v>
      </c>
      <c r="E356" s="74">
        <v>8.9318399999999993</v>
      </c>
      <c r="F356" s="74">
        <v>0</v>
      </c>
      <c r="G356" s="74">
        <v>0</v>
      </c>
      <c r="H356" s="74">
        <v>0</v>
      </c>
      <c r="I356" s="74"/>
      <c r="J356" s="74">
        <v>0</v>
      </c>
      <c r="K356" s="74">
        <v>28.402990000000003</v>
      </c>
      <c r="L356" s="74">
        <v>0</v>
      </c>
      <c r="M356" s="74">
        <v>0</v>
      </c>
      <c r="N356" s="74">
        <v>0</v>
      </c>
    </row>
    <row r="357" spans="1:14" x14ac:dyDescent="0.25">
      <c r="A357" t="e">
        <f>VLOOKUP(VALUE(RIGHT(B357,4)),'Waste Lookups'!$B$1:$C$295,2,FALSE)</f>
        <v>#N/A</v>
      </c>
      <c r="B357" s="74" t="s">
        <v>1500</v>
      </c>
      <c r="C357" s="74" t="s">
        <v>1501</v>
      </c>
      <c r="D357" s="74">
        <v>0</v>
      </c>
      <c r="E357" s="74">
        <v>65.339939999999999</v>
      </c>
      <c r="F357" s="74">
        <v>0</v>
      </c>
      <c r="G357" s="74">
        <v>0</v>
      </c>
      <c r="H357" s="74">
        <v>14.077589430092685</v>
      </c>
      <c r="I357" s="74"/>
      <c r="J357" s="74">
        <v>0</v>
      </c>
      <c r="K357" s="74">
        <v>162.97786181141765</v>
      </c>
      <c r="L357" s="74">
        <v>0</v>
      </c>
      <c r="M357" s="74">
        <v>0</v>
      </c>
      <c r="N357" s="74">
        <v>35.11382815434969</v>
      </c>
    </row>
    <row r="358" spans="1:14" x14ac:dyDescent="0.25">
      <c r="A358" t="e">
        <f>VLOOKUP(VALUE(RIGHT(B358,4)),'Waste Lookups'!$B$1:$C$295,2,FALSE)</f>
        <v>#N/A</v>
      </c>
      <c r="B358" s="74" t="s">
        <v>1502</v>
      </c>
      <c r="C358" s="74" t="s">
        <v>1503</v>
      </c>
      <c r="D358" s="74">
        <v>0</v>
      </c>
      <c r="E358" s="74">
        <v>17.428139999999999</v>
      </c>
      <c r="F358" s="74">
        <v>0</v>
      </c>
      <c r="G358" s="74">
        <v>0</v>
      </c>
      <c r="H358" s="74">
        <v>2.3780398343521991</v>
      </c>
      <c r="I358" s="74"/>
      <c r="J358" s="74">
        <v>0</v>
      </c>
      <c r="K358" s="74">
        <v>51.033232780217475</v>
      </c>
      <c r="L358" s="74">
        <v>0</v>
      </c>
      <c r="M358" s="74">
        <v>0</v>
      </c>
      <c r="N358" s="74">
        <v>6.9633971512235711</v>
      </c>
    </row>
    <row r="359" spans="1:14" x14ac:dyDescent="0.25">
      <c r="A359" t="e">
        <f>VLOOKUP(VALUE(RIGHT(B359,4)),'Waste Lookups'!$B$1:$C$295,2,FALSE)</f>
        <v>#N/A</v>
      </c>
      <c r="B359" s="74" t="s">
        <v>1504</v>
      </c>
      <c r="C359" s="74" t="s">
        <v>1505</v>
      </c>
      <c r="D359" s="74">
        <v>7.0198484848484863</v>
      </c>
      <c r="E359" s="74">
        <v>0.22463999999999998</v>
      </c>
      <c r="F359" s="74">
        <v>0</v>
      </c>
      <c r="G359" s="74">
        <v>0</v>
      </c>
      <c r="H359" s="74">
        <v>0</v>
      </c>
      <c r="I359" s="74"/>
      <c r="J359" s="74">
        <v>3.7466686939574463</v>
      </c>
      <c r="K359" s="74">
        <v>0.11989598596425639</v>
      </c>
      <c r="L359" s="74">
        <v>0</v>
      </c>
      <c r="M359" s="74">
        <v>0</v>
      </c>
      <c r="N359" s="74">
        <v>0</v>
      </c>
    </row>
    <row r="360" spans="1:14" x14ac:dyDescent="0.25">
      <c r="A360" t="e">
        <f>VLOOKUP(VALUE(RIGHT(B360,4)),'Waste Lookups'!$B$1:$C$295,2,FALSE)</f>
        <v>#N/A</v>
      </c>
      <c r="B360" s="74" t="s">
        <v>1506</v>
      </c>
      <c r="C360" s="74" t="s">
        <v>1507</v>
      </c>
      <c r="D360" s="74">
        <v>11.83787878787879</v>
      </c>
      <c r="E360" s="74">
        <v>19.245839999999998</v>
      </c>
      <c r="F360" s="74">
        <v>0</v>
      </c>
      <c r="G360" s="74">
        <v>0</v>
      </c>
      <c r="H360" s="74">
        <v>0</v>
      </c>
      <c r="I360" s="74"/>
      <c r="J360" s="74">
        <v>12.035896721958741</v>
      </c>
      <c r="K360" s="74">
        <v>19.567774490521689</v>
      </c>
      <c r="L360" s="74">
        <v>0</v>
      </c>
      <c r="M360" s="74">
        <v>0</v>
      </c>
      <c r="N360" s="74">
        <v>0</v>
      </c>
    </row>
    <row r="361" spans="1:14" x14ac:dyDescent="0.25">
      <c r="A361" t="e">
        <f>VLOOKUP(VALUE(RIGHT(B361,4)),'Waste Lookups'!$B$1:$C$295,2,FALSE)</f>
        <v>#N/A</v>
      </c>
      <c r="B361" s="74" t="s">
        <v>1508</v>
      </c>
      <c r="C361" s="74" t="s">
        <v>1509</v>
      </c>
      <c r="D361" s="74">
        <v>0</v>
      </c>
      <c r="E361" s="74">
        <v>22.611599999999999</v>
      </c>
      <c r="F361" s="74">
        <v>0</v>
      </c>
      <c r="G361" s="74">
        <v>0</v>
      </c>
      <c r="H361" s="74">
        <v>0.54429658844409379</v>
      </c>
      <c r="I361" s="74"/>
      <c r="J361" s="74">
        <v>0</v>
      </c>
      <c r="K361" s="74">
        <v>55.266746269097759</v>
      </c>
      <c r="L361" s="74">
        <v>0</v>
      </c>
      <c r="M361" s="74">
        <v>0</v>
      </c>
      <c r="N361" s="74">
        <v>1.3303570489781904</v>
      </c>
    </row>
    <row r="362" spans="1:14" x14ac:dyDescent="0.25">
      <c r="A362" t="e">
        <f>VLOOKUP(VALUE(RIGHT(B362,4)),'Waste Lookups'!$B$1:$C$295,2,FALSE)</f>
        <v>#N/A</v>
      </c>
      <c r="B362" s="74" t="s">
        <v>1510</v>
      </c>
      <c r="C362" s="74" t="s">
        <v>1511</v>
      </c>
      <c r="D362" s="74">
        <v>0</v>
      </c>
      <c r="E362" s="74">
        <v>0.92327999999999999</v>
      </c>
      <c r="F362" s="74">
        <v>0</v>
      </c>
      <c r="G362" s="74">
        <v>0</v>
      </c>
      <c r="H362" s="74">
        <v>0.31671859593768487</v>
      </c>
      <c r="I362" s="74"/>
      <c r="J362" s="74">
        <v>0</v>
      </c>
      <c r="K362" s="74">
        <v>2.9818121216419891</v>
      </c>
      <c r="L362" s="74">
        <v>0</v>
      </c>
      <c r="M362" s="74">
        <v>0</v>
      </c>
      <c r="N362" s="74">
        <v>1.0228699295082966</v>
      </c>
    </row>
    <row r="363" spans="1:14" x14ac:dyDescent="0.25">
      <c r="A363" t="e">
        <f>VLOOKUP(VALUE(RIGHT(B363,4)),'Waste Lookups'!$B$1:$C$295,2,FALSE)</f>
        <v>#N/A</v>
      </c>
      <c r="B363" s="74" t="s">
        <v>1512</v>
      </c>
      <c r="C363" s="74" t="s">
        <v>1513</v>
      </c>
      <c r="D363" s="74">
        <v>0.51924242424242428</v>
      </c>
      <c r="E363" s="74">
        <v>0</v>
      </c>
      <c r="F363" s="74">
        <v>0.17301818181818182</v>
      </c>
      <c r="G363" s="74">
        <v>0</v>
      </c>
      <c r="H363" s="74">
        <v>0</v>
      </c>
      <c r="I363" s="74"/>
      <c r="J363" s="74">
        <v>0</v>
      </c>
      <c r="K363" s="74">
        <v>0</v>
      </c>
      <c r="L363" s="74">
        <v>0</v>
      </c>
      <c r="M363" s="74">
        <v>0</v>
      </c>
      <c r="N363" s="74">
        <v>0</v>
      </c>
    </row>
    <row r="364" spans="1:14" x14ac:dyDescent="0.25">
      <c r="A364" t="e">
        <f>VLOOKUP(VALUE(RIGHT(B364,4)),'Waste Lookups'!$B$1:$C$295,2,FALSE)</f>
        <v>#N/A</v>
      </c>
      <c r="B364" s="74" t="s">
        <v>1514</v>
      </c>
      <c r="C364" s="74" t="s">
        <v>1515</v>
      </c>
      <c r="D364" s="74">
        <v>0</v>
      </c>
      <c r="E364" s="74">
        <v>4.4299200000000001</v>
      </c>
      <c r="F364" s="74">
        <v>0</v>
      </c>
      <c r="G364" s="74">
        <v>0</v>
      </c>
      <c r="H364" s="74">
        <v>0</v>
      </c>
      <c r="I364" s="74"/>
      <c r="J364" s="74">
        <v>0</v>
      </c>
      <c r="K364" s="74">
        <v>3.442285</v>
      </c>
      <c r="L364" s="74">
        <v>0</v>
      </c>
      <c r="M364" s="74">
        <v>0</v>
      </c>
      <c r="N364" s="74">
        <v>0</v>
      </c>
    </row>
    <row r="365" spans="1:14" x14ac:dyDescent="0.25">
      <c r="A365" t="e">
        <f>VLOOKUP(VALUE(RIGHT(B365,4)),'Waste Lookups'!$B$1:$C$295,2,FALSE)</f>
        <v>#N/A</v>
      </c>
      <c r="B365" s="74" t="s">
        <v>1516</v>
      </c>
      <c r="C365" s="74" t="s">
        <v>1517</v>
      </c>
      <c r="D365" s="74">
        <v>1.9598787878787878</v>
      </c>
      <c r="E365" s="74">
        <v>3.4089599999999995</v>
      </c>
      <c r="F365" s="74">
        <v>0.46298181818181816</v>
      </c>
      <c r="G365" s="74">
        <v>0</v>
      </c>
      <c r="H365" s="74">
        <v>1.1825927824886611</v>
      </c>
      <c r="I365" s="74"/>
      <c r="J365" s="74">
        <v>1.611623921046438</v>
      </c>
      <c r="K365" s="74">
        <v>2.8032149313869961</v>
      </c>
      <c r="L365" s="74">
        <v>0.3807136328053049</v>
      </c>
      <c r="M365" s="74">
        <v>0</v>
      </c>
      <c r="N365" s="74">
        <v>0.97245545433877456</v>
      </c>
    </row>
    <row r="366" spans="1:14" x14ac:dyDescent="0.25">
      <c r="A366" t="str">
        <f>VLOOKUP(VALUE(RIGHT(B366,4)),'Waste Lookups'!$B$1:$C$295,2,FALSE)</f>
        <v>Lance Burn Health Centre</v>
      </c>
      <c r="B366" s="74" t="s">
        <v>693</v>
      </c>
      <c r="C366" s="74" t="s">
        <v>1518</v>
      </c>
      <c r="D366" s="74">
        <v>1.5201212121212122</v>
      </c>
      <c r="E366" s="74">
        <v>4.6429800000000006</v>
      </c>
      <c r="F366" s="74">
        <v>0.23956363636363634</v>
      </c>
      <c r="G366" s="74">
        <v>0</v>
      </c>
      <c r="H366" s="74">
        <v>1.1900138039834351</v>
      </c>
      <c r="I366" s="74"/>
      <c r="J366" s="74">
        <v>1.7236813780553186</v>
      </c>
      <c r="K366" s="74">
        <v>5.2647236949714609</v>
      </c>
      <c r="L366" s="74">
        <v>0.27164371864991077</v>
      </c>
      <c r="M366" s="74">
        <v>0</v>
      </c>
      <c r="N366" s="74">
        <v>1.349369127408413</v>
      </c>
    </row>
    <row r="367" spans="1:14" x14ac:dyDescent="0.25">
      <c r="A367" t="e">
        <f>VLOOKUP(VALUE(RIGHT(B367,4)),'Waste Lookups'!$B$1:$C$295,2,FALSE)</f>
        <v>#N/A</v>
      </c>
      <c r="B367" s="74" t="s">
        <v>1519</v>
      </c>
      <c r="C367" s="74" t="s">
        <v>1520</v>
      </c>
      <c r="D367" s="74">
        <v>0.94178787878787884</v>
      </c>
      <c r="E367" s="74">
        <v>5.1457199999999998</v>
      </c>
      <c r="F367" s="74">
        <v>0.2685818181818182</v>
      </c>
      <c r="G367" s="74">
        <v>0</v>
      </c>
      <c r="H367" s="74">
        <v>0</v>
      </c>
      <c r="I367" s="74"/>
      <c r="J367" s="74">
        <v>0.47899542513952942</v>
      </c>
      <c r="K367" s="74">
        <v>2.6171247205063328</v>
      </c>
      <c r="L367" s="74">
        <v>0.13660131445981782</v>
      </c>
      <c r="M367" s="74">
        <v>0</v>
      </c>
      <c r="N367" s="74">
        <v>0</v>
      </c>
    </row>
    <row r="368" spans="1:14" x14ac:dyDescent="0.25">
      <c r="A368" t="e">
        <f>VLOOKUP(VALUE(RIGHT(B368,4)),'Waste Lookups'!$B$1:$C$295,2,FALSE)</f>
        <v>#N/A</v>
      </c>
      <c r="B368" s="74" t="s">
        <v>1521</v>
      </c>
      <c r="C368" s="74" t="s">
        <v>1522</v>
      </c>
      <c r="D368" s="74">
        <v>0.8873939393939394</v>
      </c>
      <c r="E368" s="74">
        <v>3.33108</v>
      </c>
      <c r="F368" s="74">
        <v>0.15785454545454544</v>
      </c>
      <c r="G368" s="74">
        <v>0</v>
      </c>
      <c r="H368" s="74">
        <v>2.0439613488463819</v>
      </c>
      <c r="I368" s="74"/>
      <c r="J368" s="74">
        <v>1.0586837774406825</v>
      </c>
      <c r="K368" s="74">
        <v>3.9740640552105102</v>
      </c>
      <c r="L368" s="74">
        <v>0.18832452989495979</v>
      </c>
      <c r="M368" s="74">
        <v>0</v>
      </c>
      <c r="N368" s="74">
        <v>2.4384984229409064</v>
      </c>
    </row>
    <row r="369" spans="1:14" x14ac:dyDescent="0.25">
      <c r="A369" t="e">
        <f>VLOOKUP(VALUE(RIGHT(B369,4)),'Waste Lookups'!$B$1:$C$295,2,FALSE)</f>
        <v>#N/A</v>
      </c>
      <c r="B369" s="74" t="s">
        <v>1523</v>
      </c>
      <c r="C369" s="74" t="s">
        <v>1524</v>
      </c>
      <c r="D369" s="74">
        <v>2.5824242424242425</v>
      </c>
      <c r="E369" s="74">
        <v>4.9800000000000001E-3</v>
      </c>
      <c r="F369" s="74">
        <v>0.51861818181818187</v>
      </c>
      <c r="G369" s="74">
        <v>0</v>
      </c>
      <c r="H369" s="74">
        <v>1.1900138039834351</v>
      </c>
      <c r="I369" s="74"/>
      <c r="J369" s="74">
        <v>0.96258213927980296</v>
      </c>
      <c r="K369" s="74">
        <v>1.8562631866843795E-3</v>
      </c>
      <c r="L369" s="74">
        <v>0.19331161422776649</v>
      </c>
      <c r="M369" s="74">
        <v>0</v>
      </c>
      <c r="N369" s="74">
        <v>0.44357004336961675</v>
      </c>
    </row>
    <row r="370" spans="1:14" x14ac:dyDescent="0.25">
      <c r="A370" t="str">
        <f>VLOOKUP(VALUE(RIGHT(B370,4)),'Waste Lookups'!$B$1:$C$295,2,FALSE)</f>
        <v>Ordsall Health Centre</v>
      </c>
      <c r="B370" s="74" t="s">
        <v>694</v>
      </c>
      <c r="C370" s="74" t="s">
        <v>1525</v>
      </c>
      <c r="D370" s="74">
        <v>1.549939393939394</v>
      </c>
      <c r="E370" s="74">
        <v>3.9797399999999992</v>
      </c>
      <c r="F370" s="74">
        <v>0.2996727272727272</v>
      </c>
      <c r="G370" s="74">
        <v>0</v>
      </c>
      <c r="H370" s="74">
        <v>1.8725710905146915</v>
      </c>
      <c r="I370" s="74"/>
      <c r="J370" s="74">
        <v>1.0844174950335792</v>
      </c>
      <c r="K370" s="74">
        <v>2.7844312484476976</v>
      </c>
      <c r="L370" s="74">
        <v>0.20966648728955323</v>
      </c>
      <c r="M370" s="74">
        <v>0</v>
      </c>
      <c r="N370" s="74">
        <v>1.310147260717758</v>
      </c>
    </row>
    <row r="371" spans="1:14" x14ac:dyDescent="0.25">
      <c r="A371" t="e">
        <f>VLOOKUP(VALUE(RIGHT(B371,4)),'Waste Lookups'!$B$1:$C$295,2,FALSE)</f>
        <v>#N/A</v>
      </c>
      <c r="B371" s="74" t="s">
        <v>1526</v>
      </c>
      <c r="C371" s="74" t="s">
        <v>1527</v>
      </c>
      <c r="D371" s="74">
        <v>1.6083636363636364</v>
      </c>
      <c r="E371" s="74">
        <v>8.6625599999999991</v>
      </c>
      <c r="F371" s="74">
        <v>0.33949090909090912</v>
      </c>
      <c r="G371" s="74">
        <v>0</v>
      </c>
      <c r="H371" s="74">
        <v>2.540286334056399</v>
      </c>
      <c r="I371" s="74"/>
      <c r="J371" s="74">
        <v>1.5456598765251626</v>
      </c>
      <c r="K371" s="74">
        <v>8.3248409235761898</v>
      </c>
      <c r="L371" s="74">
        <v>0.3262554964331657</v>
      </c>
      <c r="M371" s="74">
        <v>0</v>
      </c>
      <c r="N371" s="74">
        <v>2.4412505808160692</v>
      </c>
    </row>
    <row r="372" spans="1:14" x14ac:dyDescent="0.25">
      <c r="A372" t="e">
        <f>VLOOKUP(VALUE(RIGHT(B372,4)),'Waste Lookups'!$B$1:$C$295,2,FALSE)</f>
        <v>#N/A</v>
      </c>
      <c r="B372" s="74" t="s">
        <v>1528</v>
      </c>
      <c r="C372" s="74" t="s">
        <v>1529</v>
      </c>
      <c r="D372" s="74">
        <v>0</v>
      </c>
      <c r="E372" s="74">
        <v>4.9800000000000001E-3</v>
      </c>
      <c r="F372" s="74">
        <v>0</v>
      </c>
      <c r="G372" s="74">
        <v>0</v>
      </c>
      <c r="H372" s="74">
        <v>0.3175137053835535</v>
      </c>
      <c r="I372" s="74"/>
      <c r="J372" s="74">
        <v>0</v>
      </c>
      <c r="K372" s="74">
        <v>1.4721512859304087E-2</v>
      </c>
      <c r="L372" s="74">
        <v>0</v>
      </c>
      <c r="M372" s="74">
        <v>0</v>
      </c>
      <c r="N372" s="74">
        <v>0.93861086281310679</v>
      </c>
    </row>
    <row r="373" spans="1:14" x14ac:dyDescent="0.25">
      <c r="A373" t="str">
        <f>VLOOKUP(VALUE(RIGHT(B373,4)),'Waste Lookups'!$B$1:$C$295,2,FALSE)</f>
        <v>Sandringham House</v>
      </c>
      <c r="B373" s="74" t="s">
        <v>695</v>
      </c>
      <c r="C373" s="74" t="s">
        <v>1530</v>
      </c>
      <c r="D373" s="74">
        <v>0</v>
      </c>
      <c r="E373" s="74">
        <v>1.3259999999999997E-2</v>
      </c>
      <c r="F373" s="74">
        <v>0.90930909090909096</v>
      </c>
      <c r="G373" s="74">
        <v>0</v>
      </c>
      <c r="H373" s="74">
        <v>5.1815957404851112</v>
      </c>
      <c r="I373" s="74"/>
      <c r="J373" s="74">
        <v>0</v>
      </c>
      <c r="K373" s="74">
        <v>1.0028368350682836E-2</v>
      </c>
      <c r="L373" s="74">
        <v>0.68769883169388468</v>
      </c>
      <c r="M373" s="74">
        <v>0</v>
      </c>
      <c r="N373" s="74">
        <v>3.9187745648502186</v>
      </c>
    </row>
    <row r="374" spans="1:14" x14ac:dyDescent="0.25">
      <c r="A374" t="e">
        <f>VLOOKUP(VALUE(RIGHT(B374,4)),'Waste Lookups'!$B$1:$C$295,2,FALSE)</f>
        <v>#N/A</v>
      </c>
      <c r="B374" s="74" t="s">
        <v>1531</v>
      </c>
      <c r="C374" s="74" t="s">
        <v>1532</v>
      </c>
      <c r="D374" s="74">
        <v>0</v>
      </c>
      <c r="E374" s="74">
        <v>3.5266799999999994</v>
      </c>
      <c r="F374" s="74">
        <v>0</v>
      </c>
      <c r="G374" s="74">
        <v>0</v>
      </c>
      <c r="H374" s="74">
        <v>4.7597460067047921</v>
      </c>
      <c r="I374" s="74"/>
      <c r="J374" s="74">
        <v>0</v>
      </c>
      <c r="K374" s="74">
        <v>2.2734415963394201</v>
      </c>
      <c r="L374" s="74">
        <v>0</v>
      </c>
      <c r="M374" s="74">
        <v>0</v>
      </c>
      <c r="N374" s="74">
        <v>3.0683261763622225</v>
      </c>
    </row>
    <row r="375" spans="1:14" x14ac:dyDescent="0.25">
      <c r="A375" t="e">
        <f>VLOOKUP(VALUE(RIGHT(B375,4)),'Waste Lookups'!$B$1:$C$295,2,FALSE)</f>
        <v>#N/A</v>
      </c>
      <c r="B375" s="74" t="s">
        <v>1533</v>
      </c>
      <c r="C375" s="74" t="s">
        <v>1534</v>
      </c>
      <c r="D375" s="74">
        <v>0.97484848484848485</v>
      </c>
      <c r="E375" s="74">
        <v>4.4950799999999997</v>
      </c>
      <c r="F375" s="74">
        <v>5.0618181818181819E-2</v>
      </c>
      <c r="G375" s="74">
        <v>0</v>
      </c>
      <c r="H375" s="74">
        <v>0</v>
      </c>
      <c r="I375" s="74"/>
      <c r="J375" s="74">
        <v>0.48203045109056197</v>
      </c>
      <c r="K375" s="74">
        <v>2.2226689313928936</v>
      </c>
      <c r="L375" s="74">
        <v>2.5029022862967813E-2</v>
      </c>
      <c r="M375" s="74">
        <v>0</v>
      </c>
      <c r="N375" s="74">
        <v>0</v>
      </c>
    </row>
    <row r="376" spans="1:14" x14ac:dyDescent="0.25">
      <c r="A376" t="e">
        <f>VLOOKUP(VALUE(RIGHT(B376,4)),'Waste Lookups'!$B$1:$C$295,2,FALSE)</f>
        <v>#N/A</v>
      </c>
      <c r="B376" s="74" t="s">
        <v>1535</v>
      </c>
      <c r="C376" s="74" t="s">
        <v>1536</v>
      </c>
      <c r="D376" s="74">
        <v>0</v>
      </c>
      <c r="E376" s="74">
        <v>3.1259999999999996E-2</v>
      </c>
      <c r="F376" s="74">
        <v>0</v>
      </c>
      <c r="G376" s="74">
        <v>0</v>
      </c>
      <c r="H376" s="74">
        <v>5.3669887596134886</v>
      </c>
      <c r="I376" s="74"/>
      <c r="J376" s="74">
        <v>0</v>
      </c>
      <c r="K376" s="74">
        <v>0.10035344010457216</v>
      </c>
      <c r="L376" s="74">
        <v>0</v>
      </c>
      <c r="M376" s="74">
        <v>0</v>
      </c>
      <c r="N376" s="74">
        <v>17.22955166442048</v>
      </c>
    </row>
    <row r="377" spans="1:14" x14ac:dyDescent="0.25">
      <c r="A377" t="str">
        <f>VLOOKUP(VALUE(RIGHT(B377,4)),'Waste Lookups'!$B$1:$C$295,2,FALSE)</f>
        <v>St James House (Mezzanine Floor Front Wing)</v>
      </c>
      <c r="B377" s="74" t="s">
        <v>696</v>
      </c>
      <c r="C377" s="74" t="s">
        <v>1537</v>
      </c>
      <c r="D377" s="74">
        <v>0</v>
      </c>
      <c r="E377" s="74">
        <v>11.314499999999999</v>
      </c>
      <c r="F377" s="74">
        <v>0</v>
      </c>
      <c r="G377" s="74">
        <v>0</v>
      </c>
      <c r="H377" s="74">
        <v>5.0478848353381984</v>
      </c>
      <c r="I377" s="74"/>
      <c r="J377" s="74">
        <v>0</v>
      </c>
      <c r="K377" s="74">
        <v>15.653824629520784</v>
      </c>
      <c r="L377" s="74">
        <v>0</v>
      </c>
      <c r="M377" s="74">
        <v>0</v>
      </c>
      <c r="N377" s="74">
        <v>6.9838440905388275</v>
      </c>
    </row>
    <row r="378" spans="1:14" x14ac:dyDescent="0.25">
      <c r="A378" t="e">
        <f>VLOOKUP(VALUE(RIGHT(B378,4)),'Waste Lookups'!$B$1:$C$295,2,FALSE)</f>
        <v>#N/A</v>
      </c>
      <c r="B378" s="74" t="s">
        <v>1538</v>
      </c>
      <c r="C378" s="74" t="s">
        <v>1539</v>
      </c>
      <c r="D378" s="74">
        <v>2.0458484848484848</v>
      </c>
      <c r="E378" s="74">
        <v>5.3315999999999999</v>
      </c>
      <c r="F378" s="74">
        <v>0.38836363636363636</v>
      </c>
      <c r="G378" s="74">
        <v>0</v>
      </c>
      <c r="H378" s="74">
        <v>1.1696943403667914</v>
      </c>
      <c r="I378" s="74"/>
      <c r="J378" s="74">
        <v>1.0731488628158941</v>
      </c>
      <c r="K378" s="74">
        <v>2.7966882784151834</v>
      </c>
      <c r="L378" s="74">
        <v>0.20371596323446592</v>
      </c>
      <c r="M378" s="74">
        <v>0</v>
      </c>
      <c r="N378" s="74">
        <v>0.61356261741923368</v>
      </c>
    </row>
    <row r="379" spans="1:14" x14ac:dyDescent="0.25">
      <c r="A379" t="e">
        <f>VLOOKUP(VALUE(RIGHT(B379,4)),'Waste Lookups'!$B$1:$C$295,2,FALSE)</f>
        <v>#N/A</v>
      </c>
      <c r="B379" s="74" t="s">
        <v>1540</v>
      </c>
      <c r="C379" s="74" t="s">
        <v>1541</v>
      </c>
      <c r="D379" s="74">
        <v>0.04</v>
      </c>
      <c r="E379" s="74">
        <v>3.3569400000000003</v>
      </c>
      <c r="F379" s="74">
        <v>3.6436363636363635E-2</v>
      </c>
      <c r="G379" s="74">
        <v>0</v>
      </c>
      <c r="H379" s="74">
        <v>0</v>
      </c>
      <c r="I379" s="74"/>
      <c r="J379" s="74">
        <v>2.5209454557724421E-2</v>
      </c>
      <c r="K379" s="74">
        <v>2.1156656595751855</v>
      </c>
      <c r="L379" s="74">
        <v>2.2963521333490795E-2</v>
      </c>
      <c r="M379" s="74">
        <v>0</v>
      </c>
      <c r="N379" s="74">
        <v>0</v>
      </c>
    </row>
    <row r="380" spans="1:14" x14ac:dyDescent="0.25">
      <c r="A380" t="e">
        <f>VLOOKUP(VALUE(RIGHT(B380,4)),'Waste Lookups'!$B$1:$C$295,2,FALSE)</f>
        <v>#N/A</v>
      </c>
      <c r="B380" s="74" t="s">
        <v>1542</v>
      </c>
      <c r="C380" s="74" t="s">
        <v>1543</v>
      </c>
      <c r="D380" s="74">
        <v>0.7356060606060606</v>
      </c>
      <c r="E380" s="74">
        <v>4.635419999999999</v>
      </c>
      <c r="F380" s="74">
        <v>0.10385454545454546</v>
      </c>
      <c r="G380" s="74">
        <v>0</v>
      </c>
      <c r="H380" s="74">
        <v>0.75385210017747961</v>
      </c>
      <c r="I380" s="74"/>
      <c r="J380" s="74">
        <v>0.83292548199394001</v>
      </c>
      <c r="K380" s="74">
        <v>5.2486781234011746</v>
      </c>
      <c r="L380" s="74">
        <v>0.11759432386775</v>
      </c>
      <c r="M380" s="74">
        <v>0</v>
      </c>
      <c r="N380" s="74">
        <v>0.85358544133683001</v>
      </c>
    </row>
    <row r="381" spans="1:14" x14ac:dyDescent="0.25">
      <c r="A381" t="e">
        <f>VLOOKUP(VALUE(RIGHT(B381,4)),'Waste Lookups'!$B$1:$C$295,2,FALSE)</f>
        <v>#N/A</v>
      </c>
      <c r="B381" s="74" t="s">
        <v>1544</v>
      </c>
      <c r="C381" s="74" t="s">
        <v>1545</v>
      </c>
      <c r="D381" s="74">
        <v>0</v>
      </c>
      <c r="E381" s="74">
        <v>5.0999999999999995E-3</v>
      </c>
      <c r="F381" s="74">
        <v>0</v>
      </c>
      <c r="G381" s="74">
        <v>0</v>
      </c>
      <c r="H381" s="74">
        <v>0.75491224610530472</v>
      </c>
      <c r="I381" s="74"/>
      <c r="J381" s="74">
        <v>0</v>
      </c>
      <c r="K381" s="74">
        <v>1.1553170305676853E-2</v>
      </c>
      <c r="L381" s="74">
        <v>0</v>
      </c>
      <c r="M381" s="74">
        <v>0</v>
      </c>
      <c r="N381" s="74">
        <v>1.7101234794305145</v>
      </c>
    </row>
    <row r="382" spans="1:14" x14ac:dyDescent="0.25">
      <c r="A382" t="e">
        <f>VLOOKUP(VALUE(RIGHT(B382,4)),'Waste Lookups'!$B$1:$C$295,2,FALSE)</f>
        <v>#N/A</v>
      </c>
      <c r="B382" s="74" t="s">
        <v>1546</v>
      </c>
      <c r="C382" s="74" t="s">
        <v>1547</v>
      </c>
      <c r="D382" s="74">
        <v>0</v>
      </c>
      <c r="E382" s="74">
        <v>4.9800000000000001E-3</v>
      </c>
      <c r="F382" s="74">
        <v>0</v>
      </c>
      <c r="G382" s="74">
        <v>0</v>
      </c>
      <c r="H382" s="74">
        <v>0.3175137053835535</v>
      </c>
      <c r="I382" s="74"/>
      <c r="J382" s="74">
        <v>0</v>
      </c>
      <c r="K382" s="74">
        <v>2.1652829046898643E-2</v>
      </c>
      <c r="L382" s="74">
        <v>0</v>
      </c>
      <c r="M382" s="74">
        <v>0</v>
      </c>
      <c r="N382" s="74">
        <v>1.3805361411079167</v>
      </c>
    </row>
    <row r="383" spans="1:14" x14ac:dyDescent="0.25">
      <c r="A383" t="e">
        <f>VLOOKUP(VALUE(RIGHT(B383,4)),'Waste Lookups'!$B$1:$C$295,2,FALSE)</f>
        <v>#N/A</v>
      </c>
      <c r="B383" s="74" t="s">
        <v>1548</v>
      </c>
      <c r="C383" s="74" t="s">
        <v>1549</v>
      </c>
      <c r="D383" s="74">
        <v>1.3253939393939396</v>
      </c>
      <c r="E383" s="74">
        <v>20.804400000000001</v>
      </c>
      <c r="F383" s="74">
        <v>0</v>
      </c>
      <c r="G383" s="74">
        <v>0</v>
      </c>
      <c r="H383" s="74">
        <v>1.8118777361467167</v>
      </c>
      <c r="I383" s="74"/>
      <c r="J383" s="74">
        <v>0.42018039435926269</v>
      </c>
      <c r="K383" s="74">
        <v>6.5954737958173411</v>
      </c>
      <c r="L383" s="74">
        <v>0</v>
      </c>
      <c r="M383" s="74">
        <v>0</v>
      </c>
      <c r="N383" s="74">
        <v>0.57440695862320068</v>
      </c>
    </row>
    <row r="384" spans="1:14" x14ac:dyDescent="0.25">
      <c r="A384" t="e">
        <f>VLOOKUP(VALUE(RIGHT(B384,4)),'Waste Lookups'!$B$1:$C$295,2,FALSE)</f>
        <v>#N/A</v>
      </c>
      <c r="B384" s="74" t="s">
        <v>1550</v>
      </c>
      <c r="C384" s="74" t="s">
        <v>1551</v>
      </c>
      <c r="D384" s="74">
        <v>0</v>
      </c>
      <c r="E384" s="74">
        <v>0</v>
      </c>
      <c r="F384" s="74">
        <v>0.2831818181818182</v>
      </c>
      <c r="G384" s="74">
        <v>0</v>
      </c>
      <c r="H384" s="74">
        <v>0</v>
      </c>
      <c r="I384" s="74"/>
      <c r="J384" s="74">
        <v>0</v>
      </c>
      <c r="K384" s="74">
        <v>0</v>
      </c>
      <c r="L384" s="74">
        <v>0</v>
      </c>
      <c r="M384" s="74">
        <v>0</v>
      </c>
      <c r="N384" s="74">
        <v>0</v>
      </c>
    </row>
    <row r="385" spans="1:14" x14ac:dyDescent="0.25">
      <c r="A385" t="e">
        <f>VLOOKUP(VALUE(RIGHT(B385,4)),'Waste Lookups'!$B$1:$C$295,2,FALSE)</f>
        <v>#N/A</v>
      </c>
      <c r="B385" s="74" t="s">
        <v>1552</v>
      </c>
      <c r="C385" s="74" t="s">
        <v>1553</v>
      </c>
      <c r="D385" s="74">
        <v>0</v>
      </c>
      <c r="E385" s="74">
        <v>3.4781400000000002</v>
      </c>
      <c r="F385" s="74">
        <v>0</v>
      </c>
      <c r="G385" s="74">
        <v>0</v>
      </c>
      <c r="H385" s="74">
        <v>0.2183900611319266</v>
      </c>
      <c r="I385" s="74"/>
      <c r="J385" s="74">
        <v>0</v>
      </c>
      <c r="K385" s="74">
        <v>2.5029785584855277</v>
      </c>
      <c r="L385" s="74">
        <v>0</v>
      </c>
      <c r="M385" s="74">
        <v>0</v>
      </c>
      <c r="N385" s="74">
        <v>0.15716033293644185</v>
      </c>
    </row>
    <row r="386" spans="1:14" x14ac:dyDescent="0.25">
      <c r="A386" t="e">
        <f>VLOOKUP(VALUE(RIGHT(B386,4)),'Waste Lookups'!$B$1:$C$295,2,FALSE)</f>
        <v>#N/A</v>
      </c>
      <c r="B386" s="74" t="s">
        <v>1554</v>
      </c>
      <c r="C386" s="74" t="s">
        <v>1555</v>
      </c>
      <c r="D386" s="74">
        <v>0</v>
      </c>
      <c r="E386" s="74">
        <v>0</v>
      </c>
      <c r="F386" s="74">
        <v>0</v>
      </c>
      <c r="G386" s="74">
        <v>0</v>
      </c>
      <c r="H386" s="74">
        <v>2.0725852888976535</v>
      </c>
      <c r="I386" s="74"/>
      <c r="J386" s="74">
        <v>0</v>
      </c>
      <c r="K386" s="74">
        <v>0</v>
      </c>
      <c r="L386" s="74">
        <v>0</v>
      </c>
      <c r="M386" s="74">
        <v>0</v>
      </c>
      <c r="N386" s="74">
        <v>0</v>
      </c>
    </row>
    <row r="387" spans="1:14" x14ac:dyDescent="0.25">
      <c r="A387" t="e">
        <f>VLOOKUP(VALUE(RIGHT(B387,4)),'Waste Lookups'!$B$1:$C$295,2,FALSE)</f>
        <v>#N/A</v>
      </c>
      <c r="B387" s="74" t="s">
        <v>1556</v>
      </c>
      <c r="C387" s="74" t="s">
        <v>1557</v>
      </c>
      <c r="D387" s="74">
        <v>1.5803636363636362</v>
      </c>
      <c r="E387" s="74">
        <v>0.91800000000000004</v>
      </c>
      <c r="F387" s="74">
        <v>0</v>
      </c>
      <c r="G387" s="74">
        <v>0</v>
      </c>
      <c r="H387" s="74">
        <v>0</v>
      </c>
      <c r="I387" s="74"/>
      <c r="J387" s="74">
        <v>5.2168279566704223</v>
      </c>
      <c r="K387" s="74">
        <v>3.0303456457925644</v>
      </c>
      <c r="L387" s="74">
        <v>0</v>
      </c>
      <c r="M387" s="74">
        <v>0</v>
      </c>
      <c r="N387" s="74">
        <v>0</v>
      </c>
    </row>
    <row r="388" spans="1:14" x14ac:dyDescent="0.25">
      <c r="A388" t="e">
        <f>VLOOKUP(VALUE(RIGHT(B388,4)),'Waste Lookups'!$B$1:$C$295,2,FALSE)</f>
        <v>#N/A</v>
      </c>
      <c r="B388" s="74" t="s">
        <v>1558</v>
      </c>
      <c r="C388" s="74" t="s">
        <v>1559</v>
      </c>
      <c r="D388" s="74">
        <v>0.44727272727272727</v>
      </c>
      <c r="E388" s="74">
        <v>5.7100200000000001</v>
      </c>
      <c r="F388" s="74">
        <v>0</v>
      </c>
      <c r="G388" s="74">
        <v>0</v>
      </c>
      <c r="H388" s="74">
        <v>0</v>
      </c>
      <c r="I388" s="74"/>
      <c r="J388" s="74">
        <v>0.61439391596241122</v>
      </c>
      <c r="K388" s="74">
        <v>7.8435400463944251</v>
      </c>
      <c r="L388" s="74">
        <v>0</v>
      </c>
      <c r="M388" s="74">
        <v>0</v>
      </c>
      <c r="N388" s="74">
        <v>0</v>
      </c>
    </row>
    <row r="389" spans="1:14" x14ac:dyDescent="0.25">
      <c r="A389" t="e">
        <f>VLOOKUP(VALUE(RIGHT(B389,4)),'Waste Lookups'!$B$1:$C$295,2,FALSE)</f>
        <v>#N/A</v>
      </c>
      <c r="B389" s="74" t="s">
        <v>1560</v>
      </c>
      <c r="C389" s="74" t="s">
        <v>1561</v>
      </c>
      <c r="D389" s="74">
        <v>0.24363636363636368</v>
      </c>
      <c r="E389" s="74">
        <v>0.63066</v>
      </c>
      <c r="F389" s="74">
        <v>0</v>
      </c>
      <c r="G389" s="74">
        <v>0</v>
      </c>
      <c r="H389" s="74">
        <v>0</v>
      </c>
      <c r="I389" s="74"/>
      <c r="J389" s="74">
        <v>2.1387077066824793</v>
      </c>
      <c r="K389" s="74">
        <v>5.5361087407686913</v>
      </c>
      <c r="L389" s="74">
        <v>0</v>
      </c>
      <c r="M389" s="74">
        <v>0</v>
      </c>
      <c r="N389" s="74">
        <v>0</v>
      </c>
    </row>
    <row r="390" spans="1:14" x14ac:dyDescent="0.25">
      <c r="A390" t="e">
        <f>VLOOKUP(VALUE(RIGHT(B390,4)),'Waste Lookups'!$B$1:$C$295,2,FALSE)</f>
        <v>#N/A</v>
      </c>
      <c r="B390" s="74" t="s">
        <v>1562</v>
      </c>
      <c r="C390" s="74" t="s">
        <v>1563</v>
      </c>
      <c r="D390" s="74">
        <v>0</v>
      </c>
      <c r="E390" s="74">
        <v>0.32657999999999998</v>
      </c>
      <c r="F390" s="74">
        <v>0</v>
      </c>
      <c r="G390" s="74">
        <v>0</v>
      </c>
      <c r="H390" s="74">
        <v>0</v>
      </c>
      <c r="I390" s="74"/>
      <c r="J390" s="74">
        <v>0</v>
      </c>
      <c r="K390" s="74">
        <v>3.2100200000000001</v>
      </c>
      <c r="L390" s="74">
        <v>0</v>
      </c>
      <c r="M390" s="74">
        <v>0</v>
      </c>
      <c r="N390" s="74">
        <v>0</v>
      </c>
    </row>
    <row r="391" spans="1:14" x14ac:dyDescent="0.25">
      <c r="A391" t="e">
        <f>VLOOKUP(VALUE(RIGHT(B391,4)),'Waste Lookups'!$B$1:$C$295,2,FALSE)</f>
        <v>#N/A</v>
      </c>
      <c r="B391" s="74" t="s">
        <v>1564</v>
      </c>
      <c r="C391" s="74" t="s">
        <v>1565</v>
      </c>
      <c r="D391" s="74">
        <v>8.9575757575757559E-2</v>
      </c>
      <c r="E391" s="74">
        <v>0</v>
      </c>
      <c r="F391" s="74">
        <v>0</v>
      </c>
      <c r="G391" s="74">
        <v>0</v>
      </c>
      <c r="H391" s="74">
        <v>0</v>
      </c>
      <c r="I391" s="74"/>
      <c r="J391" s="74">
        <v>0</v>
      </c>
      <c r="K391" s="74">
        <v>0</v>
      </c>
      <c r="L391" s="74">
        <v>0</v>
      </c>
      <c r="M391" s="74">
        <v>0</v>
      </c>
      <c r="N391" s="74">
        <v>0</v>
      </c>
    </row>
    <row r="392" spans="1:14" x14ac:dyDescent="0.25">
      <c r="A392" t="e">
        <f>VLOOKUP(VALUE(RIGHT(B392,4)),'Waste Lookups'!$B$1:$C$295,2,FALSE)</f>
        <v>#N/A</v>
      </c>
      <c r="B392" s="74" t="s">
        <v>1566</v>
      </c>
      <c r="C392" s="74" t="s">
        <v>1567</v>
      </c>
      <c r="D392" s="74">
        <v>1.0465454545454544</v>
      </c>
      <c r="E392" s="74">
        <v>0.78744000000000003</v>
      </c>
      <c r="F392" s="74">
        <v>0</v>
      </c>
      <c r="G392" s="74">
        <v>0</v>
      </c>
      <c r="H392" s="74">
        <v>2.5072451193058569</v>
      </c>
      <c r="I392" s="74"/>
      <c r="J392" s="74">
        <v>2.3794443337802464</v>
      </c>
      <c r="K392" s="74">
        <v>1.7903375701972799</v>
      </c>
      <c r="L392" s="74">
        <v>0</v>
      </c>
      <c r="M392" s="74">
        <v>0</v>
      </c>
      <c r="N392" s="74">
        <v>5.7005170359481836</v>
      </c>
    </row>
    <row r="393" spans="1:14" x14ac:dyDescent="0.25">
      <c r="A393" t="e">
        <f>VLOOKUP(VALUE(RIGHT(B393,4)),'Waste Lookups'!$B$1:$C$295,2,FALSE)</f>
        <v>#N/A</v>
      </c>
      <c r="B393" s="74" t="s">
        <v>1568</v>
      </c>
      <c r="C393" s="74" t="s">
        <v>1569</v>
      </c>
      <c r="D393" s="74">
        <v>2.998030303030303</v>
      </c>
      <c r="E393" s="74">
        <v>7.56792</v>
      </c>
      <c r="F393" s="74">
        <v>0</v>
      </c>
      <c r="G393" s="74">
        <v>0</v>
      </c>
      <c r="H393" s="74">
        <v>0</v>
      </c>
      <c r="I393" s="74"/>
      <c r="J393" s="74">
        <v>2.2862078502055931</v>
      </c>
      <c r="K393" s="74">
        <v>5.7710684565929258</v>
      </c>
      <c r="L393" s="74">
        <v>0</v>
      </c>
      <c r="M393" s="74">
        <v>0</v>
      </c>
      <c r="N393" s="74">
        <v>0</v>
      </c>
    </row>
    <row r="394" spans="1:14" x14ac:dyDescent="0.25">
      <c r="A394" t="e">
        <f>VLOOKUP(VALUE(RIGHT(B394,4)),'Waste Lookups'!$B$1:$C$295,2,FALSE)</f>
        <v>#N/A</v>
      </c>
      <c r="B394" s="74" t="s">
        <v>1570</v>
      </c>
      <c r="C394" s="74" t="s">
        <v>1571</v>
      </c>
      <c r="D394" s="74">
        <v>3.8127272727272734</v>
      </c>
      <c r="E394" s="74">
        <v>7.56792</v>
      </c>
      <c r="F394" s="74">
        <v>0</v>
      </c>
      <c r="G394" s="74">
        <v>0</v>
      </c>
      <c r="H394" s="74">
        <v>0</v>
      </c>
      <c r="I394" s="74"/>
      <c r="J394" s="74">
        <v>2.0043898242522387</v>
      </c>
      <c r="K394" s="74">
        <v>3.978533147980567</v>
      </c>
      <c r="L394" s="74">
        <v>0</v>
      </c>
      <c r="M394" s="74">
        <v>0</v>
      </c>
      <c r="N394" s="74">
        <v>0</v>
      </c>
    </row>
    <row r="395" spans="1:14" x14ac:dyDescent="0.25">
      <c r="A395" t="e">
        <f>VLOOKUP(VALUE(RIGHT(B395,4)),'Waste Lookups'!$B$1:$C$295,2,FALSE)</f>
        <v>#N/A</v>
      </c>
      <c r="B395" s="74" t="s">
        <v>1572</v>
      </c>
      <c r="C395" s="74" t="s">
        <v>1573</v>
      </c>
      <c r="D395" s="74">
        <v>0</v>
      </c>
      <c r="E395" s="74">
        <v>18.751619999999999</v>
      </c>
      <c r="F395" s="74">
        <v>0</v>
      </c>
      <c r="G395" s="74">
        <v>21.338099999999997</v>
      </c>
      <c r="H395" s="74">
        <v>2.4383356339972386</v>
      </c>
      <c r="I395" s="74"/>
      <c r="J395" s="74">
        <v>0</v>
      </c>
      <c r="K395" s="74">
        <v>13.90847643366506</v>
      </c>
      <c r="L395" s="74">
        <v>0</v>
      </c>
      <c r="M395" s="74">
        <v>15.826923806539829</v>
      </c>
      <c r="N395" s="74">
        <v>1.8085655374211054</v>
      </c>
    </row>
    <row r="396" spans="1:14" x14ac:dyDescent="0.25">
      <c r="A396" t="e">
        <f>VLOOKUP(VALUE(RIGHT(B396,4)),'Waste Lookups'!$B$1:$C$295,2,FALSE)</f>
        <v>#N/A</v>
      </c>
      <c r="B396" s="74" t="s">
        <v>1574</v>
      </c>
      <c r="C396" s="74" t="s">
        <v>1575</v>
      </c>
      <c r="D396" s="74">
        <v>5.2803030303030312</v>
      </c>
      <c r="E396" s="74">
        <v>0</v>
      </c>
      <c r="F396" s="74">
        <v>0</v>
      </c>
      <c r="G396" s="74">
        <v>0</v>
      </c>
      <c r="H396" s="74">
        <v>0</v>
      </c>
      <c r="I396" s="74"/>
      <c r="J396" s="74">
        <v>2.4643333333333333</v>
      </c>
      <c r="K396" s="74">
        <v>0</v>
      </c>
      <c r="L396" s="74">
        <v>0</v>
      </c>
      <c r="M396" s="74">
        <v>0</v>
      </c>
      <c r="N396" s="74">
        <v>0</v>
      </c>
    </row>
    <row r="397" spans="1:14" x14ac:dyDescent="0.25">
      <c r="A397" t="e">
        <f>VLOOKUP(VALUE(RIGHT(B397,4)),'Waste Lookups'!$B$1:$C$295,2,FALSE)</f>
        <v>#N/A</v>
      </c>
      <c r="B397" s="74" t="s">
        <v>1576</v>
      </c>
      <c r="C397" s="74" t="s">
        <v>1577</v>
      </c>
      <c r="D397" s="74">
        <v>3.8629696969696976</v>
      </c>
      <c r="E397" s="74">
        <v>8.1057600000000001</v>
      </c>
      <c r="F397" s="74">
        <v>0</v>
      </c>
      <c r="G397" s="74">
        <v>0</v>
      </c>
      <c r="H397" s="74">
        <v>0</v>
      </c>
      <c r="I397" s="74"/>
      <c r="J397" s="74">
        <v>2.2229134237713306</v>
      </c>
      <c r="K397" s="74">
        <v>4.6643914209327653</v>
      </c>
      <c r="L397" s="74">
        <v>0</v>
      </c>
      <c r="M397" s="74">
        <v>0</v>
      </c>
      <c r="N397" s="74">
        <v>0</v>
      </c>
    </row>
    <row r="398" spans="1:14" x14ac:dyDescent="0.25">
      <c r="A398" t="e">
        <f>VLOOKUP(VALUE(RIGHT(B398,4)),'Waste Lookups'!$B$1:$C$295,2,FALSE)</f>
        <v>#N/A</v>
      </c>
      <c r="B398" s="74" t="s">
        <v>1578</v>
      </c>
      <c r="C398" s="74" t="s">
        <v>1579</v>
      </c>
      <c r="D398" s="74">
        <v>0.12181818181818184</v>
      </c>
      <c r="E398" s="74">
        <v>5.5713599999999994</v>
      </c>
      <c r="F398" s="74">
        <v>0</v>
      </c>
      <c r="G398" s="74">
        <v>10.756800000000002</v>
      </c>
      <c r="H398" s="74">
        <v>0</v>
      </c>
      <c r="I398" s="74"/>
      <c r="J398" s="74">
        <v>7.8768769601409772E-2</v>
      </c>
      <c r="K398" s="74">
        <v>3.6024932046803078</v>
      </c>
      <c r="L398" s="74">
        <v>0</v>
      </c>
      <c r="M398" s="74">
        <v>6.9554469472633507</v>
      </c>
      <c r="N398" s="74">
        <v>0</v>
      </c>
    </row>
    <row r="399" spans="1:14" x14ac:dyDescent="0.25">
      <c r="A399" t="e">
        <f>VLOOKUP(VALUE(RIGHT(B399,4)),'Waste Lookups'!$B$1:$C$295,2,FALSE)</f>
        <v>#N/A</v>
      </c>
      <c r="B399" s="74" t="s">
        <v>1580</v>
      </c>
      <c r="C399" s="74" t="s">
        <v>1581</v>
      </c>
      <c r="D399" s="74">
        <v>6.667272727272727</v>
      </c>
      <c r="E399" s="74">
        <v>7.8652800000000003</v>
      </c>
      <c r="F399" s="74">
        <v>0</v>
      </c>
      <c r="G399" s="74">
        <v>0</v>
      </c>
      <c r="H399" s="74">
        <v>0</v>
      </c>
      <c r="I399" s="74"/>
      <c r="J399" s="74">
        <v>3.6907637630966357</v>
      </c>
      <c r="K399" s="74">
        <v>4.3539377490686642</v>
      </c>
      <c r="L399" s="74">
        <v>0</v>
      </c>
      <c r="M399" s="74">
        <v>0</v>
      </c>
      <c r="N399" s="74">
        <v>0</v>
      </c>
    </row>
    <row r="400" spans="1:14" x14ac:dyDescent="0.25">
      <c r="A400" t="e">
        <f>VLOOKUP(VALUE(RIGHT(B400,4)),'Waste Lookups'!$B$1:$C$295,2,FALSE)</f>
        <v>#N/A</v>
      </c>
      <c r="B400" s="74" t="s">
        <v>1582</v>
      </c>
      <c r="C400" s="74" t="s">
        <v>1583</v>
      </c>
      <c r="D400" s="74">
        <v>0</v>
      </c>
      <c r="E400" s="74">
        <v>7.8652800000000003</v>
      </c>
      <c r="F400" s="74">
        <v>0</v>
      </c>
      <c r="G400" s="74">
        <v>0</v>
      </c>
      <c r="H400" s="74">
        <v>0</v>
      </c>
      <c r="I400" s="74"/>
      <c r="J400" s="74">
        <v>0</v>
      </c>
      <c r="K400" s="74">
        <v>7.4599249999999993</v>
      </c>
      <c r="L400" s="74">
        <v>0</v>
      </c>
      <c r="M400" s="74">
        <v>0</v>
      </c>
      <c r="N400" s="74">
        <v>0</v>
      </c>
    </row>
    <row r="401" spans="1:14" x14ac:dyDescent="0.25">
      <c r="A401" t="str">
        <f>VLOOKUP(VALUE(RIGHT(B401,4)),'Waste Lookups'!$B$1:$C$295,2,FALSE)</f>
        <v>Regent House</v>
      </c>
      <c r="B401" s="74" t="s">
        <v>676</v>
      </c>
      <c r="C401" s="74" t="s">
        <v>1584</v>
      </c>
      <c r="D401" s="74">
        <v>0</v>
      </c>
      <c r="E401" s="74">
        <v>0</v>
      </c>
      <c r="F401" s="74">
        <v>0</v>
      </c>
      <c r="G401" s="74">
        <v>0</v>
      </c>
      <c r="H401" s="74">
        <v>13.603969236836912</v>
      </c>
      <c r="I401" s="74"/>
      <c r="J401" s="74">
        <v>0</v>
      </c>
      <c r="K401" s="74">
        <v>0</v>
      </c>
      <c r="L401" s="74">
        <v>0</v>
      </c>
      <c r="M401" s="74">
        <v>0</v>
      </c>
      <c r="N401" s="74">
        <v>27.520740419378164</v>
      </c>
    </row>
    <row r="402" spans="1:14" x14ac:dyDescent="0.25">
      <c r="A402" t="e">
        <f>VLOOKUP(VALUE(RIGHT(B402,4)),'Waste Lookups'!$B$1:$C$295,2,FALSE)</f>
        <v>#N/A</v>
      </c>
      <c r="B402" s="74" t="s">
        <v>1585</v>
      </c>
      <c r="C402" s="74" t="s">
        <v>1586</v>
      </c>
      <c r="D402" s="74">
        <v>4.9720303030303032</v>
      </c>
      <c r="E402" s="74">
        <v>8.1057600000000001</v>
      </c>
      <c r="F402" s="74">
        <v>0</v>
      </c>
      <c r="G402" s="74">
        <v>0</v>
      </c>
      <c r="H402" s="74">
        <v>0</v>
      </c>
      <c r="I402" s="74"/>
      <c r="J402" s="74">
        <v>2.7169174444589284</v>
      </c>
      <c r="K402" s="74">
        <v>4.4293134599713202</v>
      </c>
      <c r="L402" s="74">
        <v>0</v>
      </c>
      <c r="M402" s="74">
        <v>0</v>
      </c>
      <c r="N402" s="74">
        <v>0</v>
      </c>
    </row>
    <row r="403" spans="1:14" x14ac:dyDescent="0.25">
      <c r="A403" t="e">
        <f>VLOOKUP(VALUE(RIGHT(B403,4)),'Waste Lookups'!$B$1:$C$295,2,FALSE)</f>
        <v>#N/A</v>
      </c>
      <c r="B403" s="74" t="s">
        <v>1587</v>
      </c>
      <c r="C403" s="74" t="s">
        <v>1588</v>
      </c>
      <c r="D403" s="74">
        <v>5.2086666666666668</v>
      </c>
      <c r="E403" s="74">
        <v>14.523839999999998</v>
      </c>
      <c r="F403" s="74">
        <v>0</v>
      </c>
      <c r="G403" s="74">
        <v>0</v>
      </c>
      <c r="H403" s="74">
        <v>0</v>
      </c>
      <c r="I403" s="74"/>
      <c r="J403" s="74">
        <v>3.2370352343949218</v>
      </c>
      <c r="K403" s="74">
        <v>9.0261452358980527</v>
      </c>
      <c r="L403" s="74">
        <v>0</v>
      </c>
      <c r="M403" s="74">
        <v>0</v>
      </c>
      <c r="N403" s="74">
        <v>0</v>
      </c>
    </row>
    <row r="404" spans="1:14" x14ac:dyDescent="0.25">
      <c r="A404" t="e">
        <f>VLOOKUP(VALUE(RIGHT(B404,4)),'Waste Lookups'!$B$1:$C$295,2,FALSE)</f>
        <v>#N/A</v>
      </c>
      <c r="B404" s="74" t="s">
        <v>1589</v>
      </c>
      <c r="C404" s="74" t="s">
        <v>1590</v>
      </c>
      <c r="D404" s="74">
        <v>0</v>
      </c>
      <c r="E404" s="74">
        <v>3.85398</v>
      </c>
      <c r="F404" s="74">
        <v>0</v>
      </c>
      <c r="G404" s="74">
        <v>0</v>
      </c>
      <c r="H404" s="74">
        <v>0</v>
      </c>
      <c r="I404" s="74"/>
      <c r="J404" s="74">
        <v>0</v>
      </c>
      <c r="K404" s="74">
        <v>3.4880450000000001</v>
      </c>
      <c r="L404" s="74">
        <v>0</v>
      </c>
      <c r="M404" s="74">
        <v>0</v>
      </c>
      <c r="N404" s="74">
        <v>0</v>
      </c>
    </row>
    <row r="405" spans="1:14" x14ac:dyDescent="0.25">
      <c r="A405" t="e">
        <f>VLOOKUP(VALUE(RIGHT(B405,4)),'Waste Lookups'!$B$1:$C$295,2,FALSE)</f>
        <v>#N/A</v>
      </c>
      <c r="B405" s="74" t="s">
        <v>1591</v>
      </c>
      <c r="C405" s="74" t="s">
        <v>1592</v>
      </c>
      <c r="D405" s="74">
        <v>3.004666666666667</v>
      </c>
      <c r="E405" s="74">
        <v>0</v>
      </c>
      <c r="F405" s="74">
        <v>0</v>
      </c>
      <c r="G405" s="74">
        <v>0</v>
      </c>
      <c r="H405" s="74">
        <v>2.3349714060343127</v>
      </c>
      <c r="I405" s="74"/>
      <c r="J405" s="74">
        <v>3.0534880032979421</v>
      </c>
      <c r="K405" s="74">
        <v>0</v>
      </c>
      <c r="L405" s="74">
        <v>0</v>
      </c>
      <c r="M405" s="74">
        <v>0</v>
      </c>
      <c r="N405" s="74">
        <v>2.3729111969279457</v>
      </c>
    </row>
    <row r="406" spans="1:14" x14ac:dyDescent="0.25">
      <c r="A406" t="e">
        <f>VLOOKUP(VALUE(RIGHT(B406,4)),'Waste Lookups'!$B$1:$C$295,2,FALSE)</f>
        <v>#N/A</v>
      </c>
      <c r="B406" s="74" t="s">
        <v>1593</v>
      </c>
      <c r="C406" s="74" t="s">
        <v>1594</v>
      </c>
      <c r="D406" s="74">
        <v>4.1960000000000006</v>
      </c>
      <c r="E406" s="74">
        <v>0</v>
      </c>
      <c r="F406" s="74">
        <v>0</v>
      </c>
      <c r="G406" s="74">
        <v>0</v>
      </c>
      <c r="H406" s="74">
        <v>0</v>
      </c>
      <c r="I406" s="74"/>
      <c r="J406" s="74">
        <v>2.1905000000000001</v>
      </c>
      <c r="K406" s="74">
        <v>0</v>
      </c>
      <c r="L406" s="74">
        <v>0</v>
      </c>
      <c r="M406" s="74">
        <v>0</v>
      </c>
      <c r="N406" s="74">
        <v>0</v>
      </c>
    </row>
    <row r="407" spans="1:14" x14ac:dyDescent="0.25">
      <c r="A407" t="e">
        <f>VLOOKUP(VALUE(RIGHT(B407,4)),'Waste Lookups'!$B$1:$C$295,2,FALSE)</f>
        <v>#N/A</v>
      </c>
      <c r="B407" s="74" t="s">
        <v>1595</v>
      </c>
      <c r="C407" s="74" t="s">
        <v>1596</v>
      </c>
      <c r="D407" s="74">
        <v>4.5646969696969704</v>
      </c>
      <c r="E407" s="74">
        <v>7.8652800000000003</v>
      </c>
      <c r="F407" s="74">
        <v>0</v>
      </c>
      <c r="G407" s="74">
        <v>0</v>
      </c>
      <c r="H407" s="74">
        <v>0</v>
      </c>
      <c r="I407" s="74"/>
      <c r="J407" s="74">
        <v>3.4757645541897535</v>
      </c>
      <c r="K407" s="74">
        <v>5.9889761827042873</v>
      </c>
      <c r="L407" s="74">
        <v>0</v>
      </c>
      <c r="M407" s="74">
        <v>0</v>
      </c>
      <c r="N407" s="74">
        <v>0</v>
      </c>
    </row>
    <row r="408" spans="1:14" x14ac:dyDescent="0.25">
      <c r="A408" t="e">
        <f>VLOOKUP(VALUE(RIGHT(B408,4)),'Waste Lookups'!$B$1:$C$295,2,FALSE)</f>
        <v>#N/A</v>
      </c>
      <c r="B408" s="74" t="s">
        <v>1597</v>
      </c>
      <c r="C408" s="74" t="s">
        <v>1598</v>
      </c>
      <c r="D408" s="74">
        <v>0.48233333333333334</v>
      </c>
      <c r="E408" s="74">
        <v>0.59495999999999993</v>
      </c>
      <c r="F408" s="74">
        <v>0</v>
      </c>
      <c r="G408" s="74">
        <v>0</v>
      </c>
      <c r="H408" s="74">
        <v>0</v>
      </c>
      <c r="I408" s="74"/>
      <c r="J408" s="74">
        <v>3.146369391863121</v>
      </c>
      <c r="K408" s="74">
        <v>3.8810586041110211</v>
      </c>
      <c r="L408" s="74">
        <v>0</v>
      </c>
      <c r="M408" s="74">
        <v>0</v>
      </c>
      <c r="N408" s="74">
        <v>0</v>
      </c>
    </row>
    <row r="409" spans="1:14" x14ac:dyDescent="0.25">
      <c r="A409" t="e">
        <f>VLOOKUP(VALUE(RIGHT(B409,4)),'Waste Lookups'!$B$1:$C$295,2,FALSE)</f>
        <v>#N/A</v>
      </c>
      <c r="B409" s="74" t="s">
        <v>1599</v>
      </c>
      <c r="C409" s="74" t="s">
        <v>1600</v>
      </c>
      <c r="D409" s="74">
        <v>0</v>
      </c>
      <c r="E409" s="74">
        <v>0.91805999999999999</v>
      </c>
      <c r="F409" s="74">
        <v>0</v>
      </c>
      <c r="G409" s="74">
        <v>0</v>
      </c>
      <c r="H409" s="74">
        <v>0</v>
      </c>
      <c r="I409" s="74"/>
      <c r="J409" s="74">
        <v>0</v>
      </c>
      <c r="K409" s="74">
        <v>9.0889699999999998</v>
      </c>
      <c r="L409" s="74">
        <v>0</v>
      </c>
      <c r="M409" s="74">
        <v>0</v>
      </c>
      <c r="N409" s="74">
        <v>0</v>
      </c>
    </row>
    <row r="410" spans="1:14" x14ac:dyDescent="0.25">
      <c r="A410" t="e">
        <f>VLOOKUP(VALUE(RIGHT(B410,4)),'Waste Lookups'!$B$1:$C$295,2,FALSE)</f>
        <v>#N/A</v>
      </c>
      <c r="B410" s="74" t="s">
        <v>1601</v>
      </c>
      <c r="C410" s="74" t="s">
        <v>1602</v>
      </c>
      <c r="D410" s="74">
        <v>5.4067878787878794</v>
      </c>
      <c r="E410" s="74">
        <v>1.7515200000000002</v>
      </c>
      <c r="F410" s="74">
        <v>0</v>
      </c>
      <c r="G410" s="74">
        <v>1.9386000000000001</v>
      </c>
      <c r="H410" s="74">
        <v>0</v>
      </c>
      <c r="I410" s="74"/>
      <c r="J410" s="74">
        <v>0.75542830987527165</v>
      </c>
      <c r="K410" s="74">
        <v>0.24471975283213176</v>
      </c>
      <c r="L410" s="74">
        <v>0</v>
      </c>
      <c r="M410" s="74">
        <v>0.27085829042224507</v>
      </c>
      <c r="N410" s="74">
        <v>0</v>
      </c>
    </row>
    <row r="411" spans="1:14" x14ac:dyDescent="0.25">
      <c r="A411" t="e">
        <f>VLOOKUP(VALUE(RIGHT(B411,4)),'Waste Lookups'!$B$1:$C$295,2,FALSE)</f>
        <v>#N/A</v>
      </c>
      <c r="B411" s="74" t="s">
        <v>1603</v>
      </c>
      <c r="C411" s="74" t="s">
        <v>1604</v>
      </c>
      <c r="D411" s="74">
        <v>8.0058484848484852</v>
      </c>
      <c r="E411" s="74">
        <v>4.0308000000000002</v>
      </c>
      <c r="F411" s="74">
        <v>0</v>
      </c>
      <c r="G411" s="74">
        <v>1.863</v>
      </c>
      <c r="H411" s="74">
        <v>0</v>
      </c>
      <c r="I411" s="74"/>
      <c r="J411" s="74">
        <v>3.7872109826813061</v>
      </c>
      <c r="K411" s="74">
        <v>1.9067922729093116</v>
      </c>
      <c r="L411" s="74">
        <v>0</v>
      </c>
      <c r="M411" s="74">
        <v>0.88130247207255308</v>
      </c>
      <c r="N411" s="74">
        <v>0</v>
      </c>
    </row>
    <row r="412" spans="1:14" x14ac:dyDescent="0.25">
      <c r="A412" t="e">
        <f>VLOOKUP(VALUE(RIGHT(B412,4)),'Waste Lookups'!$B$1:$C$295,2,FALSE)</f>
        <v>#N/A</v>
      </c>
      <c r="B412" s="74" t="s">
        <v>1605</v>
      </c>
      <c r="C412" s="74" t="s">
        <v>1606</v>
      </c>
      <c r="D412" s="74">
        <v>13.136909090909093</v>
      </c>
      <c r="E412" s="74">
        <v>0</v>
      </c>
      <c r="F412" s="74">
        <v>0</v>
      </c>
      <c r="G412" s="74">
        <v>0</v>
      </c>
      <c r="H412" s="74">
        <v>0</v>
      </c>
      <c r="I412" s="74"/>
      <c r="J412" s="74">
        <v>14.341749999999999</v>
      </c>
      <c r="K412" s="74">
        <v>0</v>
      </c>
      <c r="L412" s="74">
        <v>0</v>
      </c>
      <c r="M412" s="74">
        <v>0</v>
      </c>
      <c r="N412" s="74">
        <v>0</v>
      </c>
    </row>
    <row r="413" spans="1:14" x14ac:dyDescent="0.25">
      <c r="A413" t="str">
        <f>VLOOKUP(VALUE(RIGHT(B413,4)),'Waste Lookups'!$B$1:$C$295,2,FALSE)</f>
        <v>Century House</v>
      </c>
      <c r="B413" s="74" t="s">
        <v>755</v>
      </c>
      <c r="C413" s="74" t="s">
        <v>1607</v>
      </c>
      <c r="D413" s="74">
        <v>0</v>
      </c>
      <c r="E413" s="74">
        <v>2.9803799999999998</v>
      </c>
      <c r="F413" s="74">
        <v>0</v>
      </c>
      <c r="G413" s="74">
        <v>0</v>
      </c>
      <c r="H413" s="74">
        <v>0.5300729639124433</v>
      </c>
      <c r="I413" s="74"/>
      <c r="J413" s="74">
        <v>0</v>
      </c>
      <c r="K413" s="74">
        <v>3.2160635772542281</v>
      </c>
      <c r="L413" s="74">
        <v>0</v>
      </c>
      <c r="M413" s="74">
        <v>0</v>
      </c>
      <c r="N413" s="74">
        <v>0.57199026718942014</v>
      </c>
    </row>
    <row r="414" spans="1:14" x14ac:dyDescent="0.25">
      <c r="A414" t="e">
        <f>VLOOKUP(VALUE(RIGHT(B414,4)),'Waste Lookups'!$B$1:$C$295,2,FALSE)</f>
        <v>#N/A</v>
      </c>
      <c r="B414" s="74" t="s">
        <v>1608</v>
      </c>
      <c r="C414" s="74" t="s">
        <v>1609</v>
      </c>
      <c r="D414" s="74">
        <v>5.064606060606061</v>
      </c>
      <c r="E414" s="74">
        <v>2.0977200000000003</v>
      </c>
      <c r="F414" s="74">
        <v>0</v>
      </c>
      <c r="G414" s="74">
        <v>0</v>
      </c>
      <c r="H414" s="74">
        <v>0</v>
      </c>
      <c r="I414" s="74"/>
      <c r="J414" s="74">
        <v>1.8443047800638428</v>
      </c>
      <c r="K414" s="74">
        <v>0.76389653547359171</v>
      </c>
      <c r="L414" s="74">
        <v>0</v>
      </c>
      <c r="M414" s="74">
        <v>0</v>
      </c>
      <c r="N414" s="74">
        <v>0</v>
      </c>
    </row>
    <row r="415" spans="1:14" x14ac:dyDescent="0.25">
      <c r="A415" t="e">
        <f>VLOOKUP(VALUE(RIGHT(B415,4)),'Waste Lookups'!$B$1:$C$295,2,FALSE)</f>
        <v>#N/A</v>
      </c>
      <c r="B415" s="74" t="s">
        <v>1610</v>
      </c>
      <c r="C415" s="74" t="s">
        <v>1611</v>
      </c>
      <c r="D415" s="74">
        <v>2.1802424242424245</v>
      </c>
      <c r="E415" s="74">
        <v>4.0082999999999993</v>
      </c>
      <c r="F415" s="74">
        <v>0</v>
      </c>
      <c r="G415" s="74">
        <v>5.3298000000000005</v>
      </c>
      <c r="H415" s="74">
        <v>0</v>
      </c>
      <c r="I415" s="74"/>
      <c r="J415" s="74">
        <v>0.2052634960884116</v>
      </c>
      <c r="K415" s="74">
        <v>0.37736981090855831</v>
      </c>
      <c r="L415" s="74">
        <v>0</v>
      </c>
      <c r="M415" s="74">
        <v>0.50178520025458029</v>
      </c>
      <c r="N415" s="74">
        <v>0</v>
      </c>
    </row>
    <row r="416" spans="1:14" x14ac:dyDescent="0.25">
      <c r="A416" t="e">
        <f>VLOOKUP(VALUE(RIGHT(B416,4)),'Waste Lookups'!$B$1:$C$295,2,FALSE)</f>
        <v>#N/A</v>
      </c>
      <c r="B416" s="74" t="s">
        <v>1612</v>
      </c>
      <c r="C416" s="74" t="s">
        <v>1613</v>
      </c>
      <c r="D416" s="74">
        <v>2.5759090909090911</v>
      </c>
      <c r="E416" s="74">
        <v>2.3430599999999999</v>
      </c>
      <c r="F416" s="74">
        <v>0</v>
      </c>
      <c r="G416" s="74">
        <v>1.88334</v>
      </c>
      <c r="H416" s="74">
        <v>0</v>
      </c>
      <c r="I416" s="74"/>
      <c r="J416" s="74">
        <v>1.2577578854616436</v>
      </c>
      <c r="K416" s="74">
        <v>1.1440629646093998</v>
      </c>
      <c r="L416" s="74">
        <v>0</v>
      </c>
      <c r="M416" s="74">
        <v>0.91959213326481903</v>
      </c>
      <c r="N416" s="74">
        <v>0</v>
      </c>
    </row>
    <row r="417" spans="1:14" x14ac:dyDescent="0.25">
      <c r="A417" t="e">
        <f>VLOOKUP(VALUE(RIGHT(B417,4)),'Waste Lookups'!$B$1:$C$295,2,FALSE)</f>
        <v>#N/A</v>
      </c>
      <c r="B417" s="74" t="s">
        <v>1614</v>
      </c>
      <c r="C417" s="74" t="s">
        <v>1615</v>
      </c>
      <c r="D417" s="74">
        <v>3.8834848484848483</v>
      </c>
      <c r="E417" s="74">
        <v>0</v>
      </c>
      <c r="F417" s="74">
        <v>0</v>
      </c>
      <c r="G417" s="74">
        <v>0</v>
      </c>
      <c r="H417" s="74">
        <v>0</v>
      </c>
      <c r="I417" s="74"/>
      <c r="J417" s="74">
        <v>4.789194444444445</v>
      </c>
      <c r="K417" s="74">
        <v>0</v>
      </c>
      <c r="L417" s="74">
        <v>0</v>
      </c>
      <c r="M417" s="74">
        <v>0</v>
      </c>
      <c r="N417" s="74">
        <v>0</v>
      </c>
    </row>
    <row r="418" spans="1:14" x14ac:dyDescent="0.25">
      <c r="A418" t="e">
        <f>VLOOKUP(VALUE(RIGHT(B418,4)),'Waste Lookups'!$B$1:$C$295,2,FALSE)</f>
        <v>#N/A</v>
      </c>
      <c r="B418" s="74" t="s">
        <v>1616</v>
      </c>
      <c r="C418" s="74" t="s">
        <v>1617</v>
      </c>
      <c r="D418" s="74">
        <v>0</v>
      </c>
      <c r="E418" s="74">
        <v>1.4687999999999999</v>
      </c>
      <c r="F418" s="74">
        <v>0</v>
      </c>
      <c r="G418" s="74">
        <v>0</v>
      </c>
      <c r="H418" s="74">
        <v>0</v>
      </c>
      <c r="I418" s="74"/>
      <c r="J418" s="74">
        <v>0</v>
      </c>
      <c r="K418" s="74">
        <v>0</v>
      </c>
      <c r="L418" s="74">
        <v>0</v>
      </c>
      <c r="M418" s="74">
        <v>0</v>
      </c>
      <c r="N418" s="74">
        <v>0</v>
      </c>
    </row>
    <row r="419" spans="1:14" x14ac:dyDescent="0.25">
      <c r="A419" t="e">
        <f>VLOOKUP(VALUE(RIGHT(B419,4)),'Waste Lookups'!$B$1:$C$295,2,FALSE)</f>
        <v>#N/A</v>
      </c>
      <c r="B419" s="74" t="s">
        <v>1618</v>
      </c>
      <c r="C419" s="74" t="s">
        <v>1619</v>
      </c>
      <c r="D419" s="74">
        <v>6.1901212121212126</v>
      </c>
      <c r="E419" s="74">
        <v>3.9232200000000002</v>
      </c>
      <c r="F419" s="74">
        <v>0</v>
      </c>
      <c r="G419" s="74">
        <v>2.3895899999999997</v>
      </c>
      <c r="H419" s="74">
        <v>0</v>
      </c>
      <c r="I419" s="74"/>
      <c r="J419" s="74">
        <v>0.41068843017088363</v>
      </c>
      <c r="K419" s="74">
        <v>0.26028909738633144</v>
      </c>
      <c r="L419" s="74">
        <v>0</v>
      </c>
      <c r="M419" s="74">
        <v>0.15853921631297851</v>
      </c>
      <c r="N419" s="74">
        <v>0</v>
      </c>
    </row>
    <row r="420" spans="1:14" x14ac:dyDescent="0.25">
      <c r="A420" t="e">
        <f>VLOOKUP(VALUE(RIGHT(B420,4)),'Waste Lookups'!$B$1:$C$295,2,FALSE)</f>
        <v>#N/A</v>
      </c>
      <c r="B420" s="74" t="s">
        <v>1620</v>
      </c>
      <c r="C420" s="74" t="s">
        <v>1621</v>
      </c>
      <c r="D420" s="74">
        <v>7.252121212121212</v>
      </c>
      <c r="E420" s="74">
        <v>2.7018</v>
      </c>
      <c r="F420" s="74">
        <v>0</v>
      </c>
      <c r="G420" s="74">
        <v>3.6179999999999999</v>
      </c>
      <c r="H420" s="74">
        <v>0</v>
      </c>
      <c r="I420" s="74"/>
      <c r="J420" s="74">
        <v>1.7396059740837742</v>
      </c>
      <c r="K420" s="74">
        <v>0.64809554105684786</v>
      </c>
      <c r="L420" s="74">
        <v>0</v>
      </c>
      <c r="M420" s="74">
        <v>0.86786944538591893</v>
      </c>
      <c r="N420" s="74">
        <v>0</v>
      </c>
    </row>
    <row r="421" spans="1:14" x14ac:dyDescent="0.25">
      <c r="A421" t="e">
        <f>VLOOKUP(VALUE(RIGHT(B421,4)),'Waste Lookups'!$B$1:$C$295,2,FALSE)</f>
        <v>#N/A</v>
      </c>
      <c r="B421" s="74" t="s">
        <v>1622</v>
      </c>
      <c r="C421" s="74" t="s">
        <v>1623</v>
      </c>
      <c r="D421" s="74">
        <v>0</v>
      </c>
      <c r="E421" s="74">
        <v>1.9681199999999999</v>
      </c>
      <c r="F421" s="74">
        <v>0</v>
      </c>
      <c r="G421" s="74">
        <v>1.6524000000000001</v>
      </c>
      <c r="H421" s="74">
        <v>0</v>
      </c>
      <c r="I421" s="74"/>
      <c r="J421" s="74">
        <v>0</v>
      </c>
      <c r="K421" s="74">
        <v>6.3472850944060036E-2</v>
      </c>
      <c r="L421" s="74">
        <v>0</v>
      </c>
      <c r="M421" s="74">
        <v>5.3290723583909939E-2</v>
      </c>
      <c r="N421" s="74">
        <v>0</v>
      </c>
    </row>
    <row r="422" spans="1:14" x14ac:dyDescent="0.25">
      <c r="A422" t="e">
        <f>VLOOKUP(VALUE(RIGHT(B422,4)),'Waste Lookups'!$B$1:$C$295,2,FALSE)</f>
        <v>#N/A</v>
      </c>
      <c r="B422" s="74" t="s">
        <v>1624</v>
      </c>
      <c r="C422" s="74" t="s">
        <v>1625</v>
      </c>
      <c r="D422" s="74">
        <v>7.4393939393939387E-2</v>
      </c>
      <c r="E422" s="74">
        <v>1.0840800000000002</v>
      </c>
      <c r="F422" s="74">
        <v>0</v>
      </c>
      <c r="G422" s="74">
        <v>1.0209599999999999</v>
      </c>
      <c r="H422" s="74">
        <v>0</v>
      </c>
      <c r="I422" s="74"/>
      <c r="J422" s="74">
        <v>1.7308082551437749E-2</v>
      </c>
      <c r="K422" s="74">
        <v>0.2522160579910252</v>
      </c>
      <c r="L422" s="74">
        <v>0</v>
      </c>
      <c r="M422" s="74">
        <v>0.23753090783569206</v>
      </c>
      <c r="N422" s="74">
        <v>0</v>
      </c>
    </row>
    <row r="423" spans="1:14" x14ac:dyDescent="0.25">
      <c r="A423" t="e">
        <f>VLOOKUP(VALUE(RIGHT(B423,4)),'Waste Lookups'!$B$1:$C$295,2,FALSE)</f>
        <v>#N/A</v>
      </c>
      <c r="B423" s="74" t="s">
        <v>1626</v>
      </c>
      <c r="C423" s="74" t="s">
        <v>1627</v>
      </c>
      <c r="D423" s="74">
        <v>5.0848181818181821</v>
      </c>
      <c r="E423" s="74">
        <v>2.4089399999999999</v>
      </c>
      <c r="F423" s="74">
        <v>0</v>
      </c>
      <c r="G423" s="74">
        <v>2.0196000000000001</v>
      </c>
      <c r="H423" s="74">
        <v>0</v>
      </c>
      <c r="I423" s="74"/>
      <c r="J423" s="74">
        <v>2.3064864724580563</v>
      </c>
      <c r="K423" s="74">
        <v>1.0927013168003539</v>
      </c>
      <c r="L423" s="74">
        <v>0</v>
      </c>
      <c r="M423" s="74">
        <v>0.91609570159904163</v>
      </c>
      <c r="N423" s="74">
        <v>0</v>
      </c>
    </row>
    <row r="424" spans="1:14" x14ac:dyDescent="0.25">
      <c r="A424" t="str">
        <f>VLOOKUP(VALUE(RIGHT(B424,4)),'Waste Lookups'!$B$1:$C$295,2,FALSE)</f>
        <v>New Century House</v>
      </c>
      <c r="B424" s="74" t="s">
        <v>697</v>
      </c>
      <c r="C424" s="74" t="s">
        <v>1628</v>
      </c>
      <c r="D424" s="74">
        <v>0</v>
      </c>
      <c r="E424" s="74">
        <v>0</v>
      </c>
      <c r="F424" s="74">
        <v>0</v>
      </c>
      <c r="G424" s="74">
        <v>0</v>
      </c>
      <c r="H424" s="74">
        <v>0.3498481561822126</v>
      </c>
      <c r="I424" s="74"/>
      <c r="J424" s="74">
        <v>0</v>
      </c>
      <c r="K424" s="74">
        <v>0</v>
      </c>
      <c r="L424" s="74">
        <v>0</v>
      </c>
      <c r="M424" s="74">
        <v>0</v>
      </c>
      <c r="N424" s="74">
        <v>17.409116413593637</v>
      </c>
    </row>
    <row r="425" spans="1:14" x14ac:dyDescent="0.25">
      <c r="A425" t="e">
        <f>VLOOKUP(VALUE(RIGHT(B425,4)),'Waste Lookups'!$B$1:$C$295,2,FALSE)</f>
        <v>#N/A</v>
      </c>
      <c r="B425" s="74" t="s">
        <v>1629</v>
      </c>
      <c r="C425" s="74" t="s">
        <v>1630</v>
      </c>
      <c r="D425" s="74">
        <v>0</v>
      </c>
      <c r="E425" s="74">
        <v>2.2561199999999992</v>
      </c>
      <c r="F425" s="74">
        <v>0</v>
      </c>
      <c r="G425" s="74">
        <v>2.0196000000000001</v>
      </c>
      <c r="H425" s="74">
        <v>0</v>
      </c>
      <c r="I425" s="74"/>
      <c r="J425" s="74">
        <v>0</v>
      </c>
      <c r="K425" s="74">
        <v>6.1999900069951028E-2</v>
      </c>
      <c r="L425" s="74">
        <v>0</v>
      </c>
      <c r="M425" s="74">
        <v>5.5500149895073445E-2</v>
      </c>
      <c r="N425" s="74">
        <v>0</v>
      </c>
    </row>
    <row r="426" spans="1:14" x14ac:dyDescent="0.25">
      <c r="A426" t="e">
        <f>VLOOKUP(VALUE(RIGHT(B426,4)),'Waste Lookups'!$B$1:$C$295,2,FALSE)</f>
        <v>#N/A</v>
      </c>
      <c r="B426" s="74" t="s">
        <v>1631</v>
      </c>
      <c r="C426" s="74" t="s">
        <v>1632</v>
      </c>
      <c r="D426" s="74">
        <v>0</v>
      </c>
      <c r="E426" s="74">
        <v>2.3128800000000003</v>
      </c>
      <c r="F426" s="74">
        <v>0</v>
      </c>
      <c r="G426" s="74">
        <v>0</v>
      </c>
      <c r="H426" s="74">
        <v>0</v>
      </c>
      <c r="I426" s="74"/>
      <c r="J426" s="74">
        <v>0</v>
      </c>
      <c r="K426" s="74">
        <v>0</v>
      </c>
      <c r="L426" s="74">
        <v>0</v>
      </c>
      <c r="M426" s="74">
        <v>0</v>
      </c>
      <c r="N426" s="74">
        <v>0</v>
      </c>
    </row>
    <row r="427" spans="1:14" x14ac:dyDescent="0.25">
      <c r="A427" t="e">
        <f>VLOOKUP(VALUE(RIGHT(B427,4)),'Waste Lookups'!$B$1:$C$295,2,FALSE)</f>
        <v>#N/A</v>
      </c>
      <c r="B427" s="74" t="s">
        <v>1633</v>
      </c>
      <c r="C427" s="74" t="s">
        <v>1634</v>
      </c>
      <c r="D427" s="74">
        <v>0</v>
      </c>
      <c r="E427" s="74">
        <v>4.8147600000000006</v>
      </c>
      <c r="F427" s="74">
        <v>0</v>
      </c>
      <c r="G427" s="74">
        <v>8.6349600000000013</v>
      </c>
      <c r="H427" s="74">
        <v>0</v>
      </c>
      <c r="I427" s="74"/>
      <c r="J427" s="74">
        <v>0</v>
      </c>
      <c r="K427" s="74">
        <v>14.720709456893125</v>
      </c>
      <c r="L427" s="74">
        <v>0</v>
      </c>
      <c r="M427" s="74">
        <v>26.400638314660309</v>
      </c>
      <c r="N427" s="74">
        <v>0</v>
      </c>
    </row>
    <row r="428" spans="1:14" x14ac:dyDescent="0.25">
      <c r="A428" t="e">
        <f>VLOOKUP(VALUE(RIGHT(B428,4)),'Waste Lookups'!$B$1:$C$295,2,FALSE)</f>
        <v>#N/A</v>
      </c>
      <c r="B428" s="74" t="s">
        <v>1635</v>
      </c>
      <c r="C428" s="74" t="s">
        <v>1636</v>
      </c>
      <c r="D428" s="74">
        <v>26.528090909090913</v>
      </c>
      <c r="E428" s="74">
        <v>15.262439999999996</v>
      </c>
      <c r="F428" s="74">
        <v>5.0618181818181816</v>
      </c>
      <c r="G428" s="74">
        <v>0</v>
      </c>
      <c r="H428" s="74">
        <v>0</v>
      </c>
      <c r="I428" s="74"/>
      <c r="J428" s="74">
        <v>4.2943988562357225</v>
      </c>
      <c r="K428" s="74">
        <v>2.470701910061134</v>
      </c>
      <c r="L428" s="74">
        <v>0.81941313775519264</v>
      </c>
      <c r="M428" s="74">
        <v>0</v>
      </c>
      <c r="N428" s="74">
        <v>0</v>
      </c>
    </row>
    <row r="429" spans="1:14" x14ac:dyDescent="0.25">
      <c r="A429" t="e">
        <f>VLOOKUP(VALUE(RIGHT(B429,4)),'Waste Lookups'!$B$1:$C$295,2,FALSE)</f>
        <v>#N/A</v>
      </c>
      <c r="B429" s="74" t="s">
        <v>1637</v>
      </c>
      <c r="C429" s="74" t="s">
        <v>1638</v>
      </c>
      <c r="D429" s="74">
        <v>9.8693030303030298</v>
      </c>
      <c r="E429" s="74">
        <v>4.3534800000000002</v>
      </c>
      <c r="F429" s="74">
        <v>0</v>
      </c>
      <c r="G429" s="74">
        <v>1.7442</v>
      </c>
      <c r="H429" s="74">
        <v>0</v>
      </c>
      <c r="I429" s="74"/>
      <c r="J429" s="74">
        <v>4.4243781223186671</v>
      </c>
      <c r="K429" s="74">
        <v>1.951651662615983</v>
      </c>
      <c r="L429" s="74">
        <v>0</v>
      </c>
      <c r="M429" s="74">
        <v>0.78191948278958401</v>
      </c>
      <c r="N429" s="74">
        <v>0</v>
      </c>
    </row>
    <row r="430" spans="1:14" x14ac:dyDescent="0.25">
      <c r="A430" t="e">
        <f>VLOOKUP(VALUE(RIGHT(B430,4)),'Waste Lookups'!$B$1:$C$295,2,FALSE)</f>
        <v>#N/A</v>
      </c>
      <c r="B430" s="74" t="s">
        <v>1639</v>
      </c>
      <c r="C430" s="74" t="s">
        <v>1640</v>
      </c>
      <c r="D430" s="74">
        <v>1.2022424242424246</v>
      </c>
      <c r="E430" s="74">
        <v>1.7861999999999998</v>
      </c>
      <c r="F430" s="74">
        <v>0</v>
      </c>
      <c r="G430" s="74">
        <v>2.0790000000000002</v>
      </c>
      <c r="H430" s="74">
        <v>0</v>
      </c>
      <c r="I430" s="74"/>
      <c r="J430" s="74">
        <v>4.3096678937106198E-2</v>
      </c>
      <c r="K430" s="74">
        <v>6.4029755035442587E-2</v>
      </c>
      <c r="L430" s="74">
        <v>0</v>
      </c>
      <c r="M430" s="74">
        <v>7.4525731003630691E-2</v>
      </c>
      <c r="N430" s="74">
        <v>0</v>
      </c>
    </row>
    <row r="431" spans="1:14" x14ac:dyDescent="0.25">
      <c r="A431" t="e">
        <f>VLOOKUP(VALUE(RIGHT(B431,4)),'Waste Lookups'!$B$1:$C$295,2,FALSE)</f>
        <v>#N/A</v>
      </c>
      <c r="B431" s="74" t="s">
        <v>1641</v>
      </c>
      <c r="C431" s="74" t="s">
        <v>1642</v>
      </c>
      <c r="D431" s="74">
        <v>4.2536969696969695</v>
      </c>
      <c r="E431" s="74">
        <v>0</v>
      </c>
      <c r="F431" s="74">
        <v>0</v>
      </c>
      <c r="G431" s="74">
        <v>0</v>
      </c>
      <c r="H431" s="74">
        <v>0</v>
      </c>
      <c r="I431" s="74"/>
      <c r="J431" s="74">
        <v>4.1622222222222227</v>
      </c>
      <c r="K431" s="74">
        <v>0</v>
      </c>
      <c r="L431" s="74">
        <v>0</v>
      </c>
      <c r="M431" s="74">
        <v>0</v>
      </c>
      <c r="N431" s="74">
        <v>0</v>
      </c>
    </row>
    <row r="432" spans="1:14" x14ac:dyDescent="0.25">
      <c r="A432" t="e">
        <f>VLOOKUP(VALUE(RIGHT(B432,4)),'Waste Lookups'!$B$1:$C$295,2,FALSE)</f>
        <v>#N/A</v>
      </c>
      <c r="B432" s="74" t="s">
        <v>1643</v>
      </c>
      <c r="C432" s="74" t="s">
        <v>1644</v>
      </c>
      <c r="D432" s="74">
        <v>0</v>
      </c>
      <c r="E432" s="74">
        <v>2.25312</v>
      </c>
      <c r="F432" s="74">
        <v>0</v>
      </c>
      <c r="G432" s="74">
        <v>1.5443999999999998</v>
      </c>
      <c r="H432" s="74">
        <v>0</v>
      </c>
      <c r="I432" s="74"/>
      <c r="J432" s="74">
        <v>0</v>
      </c>
      <c r="K432" s="74">
        <v>0</v>
      </c>
      <c r="L432" s="74">
        <v>0</v>
      </c>
      <c r="M432" s="74">
        <v>0</v>
      </c>
      <c r="N432" s="74">
        <v>0</v>
      </c>
    </row>
    <row r="433" spans="1:14" x14ac:dyDescent="0.25">
      <c r="A433" t="e">
        <f>VLOOKUP(VALUE(RIGHT(B433,4)),'Waste Lookups'!$B$1:$C$295,2,FALSE)</f>
        <v>#N/A</v>
      </c>
      <c r="B433" s="74" t="s">
        <v>1645</v>
      </c>
      <c r="C433" s="74" t="s">
        <v>1646</v>
      </c>
      <c r="D433" s="74">
        <v>0</v>
      </c>
      <c r="E433" s="74">
        <v>5.6755199999999988</v>
      </c>
      <c r="F433" s="74">
        <v>0</v>
      </c>
      <c r="G433" s="74">
        <v>0</v>
      </c>
      <c r="H433" s="74">
        <v>0.20142772628672848</v>
      </c>
      <c r="I433" s="74"/>
      <c r="J433" s="74">
        <v>0</v>
      </c>
      <c r="K433" s="74">
        <v>5.9513147522994991</v>
      </c>
      <c r="L433" s="74">
        <v>0</v>
      </c>
      <c r="M433" s="74">
        <v>0</v>
      </c>
      <c r="N433" s="74">
        <v>0.21121585316805386</v>
      </c>
    </row>
    <row r="434" spans="1:14" x14ac:dyDescent="0.25">
      <c r="A434" t="e">
        <f>VLOOKUP(VALUE(RIGHT(B434,4)),'Waste Lookups'!$B$1:$C$295,2,FALSE)</f>
        <v>#N/A</v>
      </c>
      <c r="B434" s="74" t="s">
        <v>1647</v>
      </c>
      <c r="C434" s="74" t="s">
        <v>1648</v>
      </c>
      <c r="D434" s="74">
        <v>0</v>
      </c>
      <c r="E434" s="74">
        <v>2.6827199999999998</v>
      </c>
      <c r="F434" s="74">
        <v>0</v>
      </c>
      <c r="G434" s="74">
        <v>0</v>
      </c>
      <c r="H434" s="74">
        <v>0</v>
      </c>
      <c r="I434" s="74"/>
      <c r="J434" s="74">
        <v>0</v>
      </c>
      <c r="K434" s="74">
        <v>0</v>
      </c>
      <c r="L434" s="74">
        <v>0</v>
      </c>
      <c r="M434" s="74">
        <v>0</v>
      </c>
      <c r="N434" s="74">
        <v>0</v>
      </c>
    </row>
    <row r="435" spans="1:14" x14ac:dyDescent="0.25">
      <c r="A435" t="e">
        <f>VLOOKUP(VALUE(RIGHT(B435,4)),'Waste Lookups'!$B$1:$C$295,2,FALSE)</f>
        <v>#N/A</v>
      </c>
      <c r="B435" s="74" t="s">
        <v>1649</v>
      </c>
      <c r="C435" s="74" t="s">
        <v>1650</v>
      </c>
      <c r="D435" s="74">
        <v>0</v>
      </c>
      <c r="E435" s="74">
        <v>2.9552400000000003</v>
      </c>
      <c r="F435" s="74">
        <v>0</v>
      </c>
      <c r="G435" s="74">
        <v>0</v>
      </c>
      <c r="H435" s="74">
        <v>0</v>
      </c>
      <c r="I435" s="74"/>
      <c r="J435" s="74">
        <v>0</v>
      </c>
      <c r="K435" s="74">
        <v>3.9307399999999997</v>
      </c>
      <c r="L435" s="74">
        <v>0</v>
      </c>
      <c r="M435" s="74">
        <v>0</v>
      </c>
      <c r="N435" s="74">
        <v>0</v>
      </c>
    </row>
    <row r="436" spans="1:14" x14ac:dyDescent="0.25">
      <c r="A436" t="e">
        <f>VLOOKUP(VALUE(RIGHT(B436,4)),'Waste Lookups'!$B$1:$C$295,2,FALSE)</f>
        <v>#N/A</v>
      </c>
      <c r="B436" s="74" t="s">
        <v>1651</v>
      </c>
      <c r="C436" s="74" t="s">
        <v>1652</v>
      </c>
      <c r="D436" s="74">
        <v>0</v>
      </c>
      <c r="E436" s="74">
        <v>5.5084800000000005</v>
      </c>
      <c r="F436" s="74">
        <v>0</v>
      </c>
      <c r="G436" s="74">
        <v>0</v>
      </c>
      <c r="H436" s="74">
        <v>0</v>
      </c>
      <c r="I436" s="74"/>
      <c r="J436" s="74">
        <v>0</v>
      </c>
      <c r="K436" s="74">
        <v>9.7141549999999999</v>
      </c>
      <c r="L436" s="74">
        <v>0</v>
      </c>
      <c r="M436" s="74">
        <v>0</v>
      </c>
      <c r="N436" s="74">
        <v>0</v>
      </c>
    </row>
    <row r="437" spans="1:14" x14ac:dyDescent="0.25">
      <c r="A437" t="str">
        <f>VLOOKUP(VALUE(RIGHT(B437,4)),'Waste Lookups'!$B$1:$C$295,2,FALSE)</f>
        <v>Conway Road Health Centre</v>
      </c>
      <c r="B437" s="74" t="s">
        <v>698</v>
      </c>
      <c r="C437" s="74" t="s">
        <v>1653</v>
      </c>
      <c r="D437" s="74">
        <v>0</v>
      </c>
      <c r="E437" s="74">
        <v>3.5288400000000002</v>
      </c>
      <c r="F437" s="74">
        <v>0</v>
      </c>
      <c r="G437" s="74">
        <v>0</v>
      </c>
      <c r="H437" s="74">
        <v>0</v>
      </c>
      <c r="I437" s="74"/>
      <c r="J437" s="74">
        <v>0</v>
      </c>
      <c r="K437" s="74">
        <v>8.335799999999999</v>
      </c>
      <c r="L437" s="74">
        <v>0</v>
      </c>
      <c r="M437" s="74">
        <v>0</v>
      </c>
      <c r="N437" s="74">
        <v>0</v>
      </c>
    </row>
    <row r="438" spans="1:14" x14ac:dyDescent="0.25">
      <c r="A438" t="e">
        <f>VLOOKUP(VALUE(RIGHT(B438,4)),'Waste Lookups'!$B$1:$C$295,2,FALSE)</f>
        <v>#N/A</v>
      </c>
      <c r="B438" s="74" t="s">
        <v>1654</v>
      </c>
      <c r="C438" s="74" t="s">
        <v>1655</v>
      </c>
      <c r="D438" s="74">
        <v>0</v>
      </c>
      <c r="E438" s="74">
        <v>4.6041000000000007</v>
      </c>
      <c r="F438" s="74">
        <v>0</v>
      </c>
      <c r="G438" s="74">
        <v>0</v>
      </c>
      <c r="H438" s="74">
        <v>0</v>
      </c>
      <c r="I438" s="74"/>
      <c r="J438" s="74">
        <v>0</v>
      </c>
      <c r="K438" s="74">
        <v>8.4921099999999985</v>
      </c>
      <c r="L438" s="74">
        <v>0</v>
      </c>
      <c r="M438" s="74">
        <v>0</v>
      </c>
      <c r="N438" s="74">
        <v>0</v>
      </c>
    </row>
    <row r="439" spans="1:14" x14ac:dyDescent="0.25">
      <c r="A439" t="e">
        <f>VLOOKUP(VALUE(RIGHT(B439,4)),'Waste Lookups'!$B$1:$C$295,2,FALSE)</f>
        <v>#N/A</v>
      </c>
      <c r="B439" s="74" t="s">
        <v>1656</v>
      </c>
      <c r="C439" s="74" t="s">
        <v>1657</v>
      </c>
      <c r="D439" s="74">
        <v>0</v>
      </c>
      <c r="E439" s="74">
        <v>6.9974999999999996</v>
      </c>
      <c r="F439" s="74">
        <v>0</v>
      </c>
      <c r="G439" s="74">
        <v>0</v>
      </c>
      <c r="H439" s="74">
        <v>1.5902188917373301</v>
      </c>
      <c r="I439" s="74"/>
      <c r="J439" s="74">
        <v>0</v>
      </c>
      <c r="K439" s="74">
        <v>8.6036889189189178</v>
      </c>
      <c r="L439" s="74">
        <v>0</v>
      </c>
      <c r="M439" s="74">
        <v>0</v>
      </c>
      <c r="N439" s="74">
        <v>1.9552338202923887</v>
      </c>
    </row>
    <row r="440" spans="1:14" x14ac:dyDescent="0.25">
      <c r="A440" t="e">
        <f>VLOOKUP(VALUE(RIGHT(B440,4)),'Waste Lookups'!$B$1:$C$295,2,FALSE)</f>
        <v>#N/A</v>
      </c>
      <c r="B440" s="74" t="s">
        <v>1658</v>
      </c>
      <c r="C440" s="74" t="s">
        <v>1659</v>
      </c>
      <c r="D440" s="74">
        <v>0</v>
      </c>
      <c r="E440" s="74">
        <v>3.96156</v>
      </c>
      <c r="F440" s="74">
        <v>0</v>
      </c>
      <c r="G440" s="74">
        <v>0</v>
      </c>
      <c r="H440" s="74">
        <v>0</v>
      </c>
      <c r="I440" s="74"/>
      <c r="J440" s="74">
        <v>0</v>
      </c>
      <c r="K440" s="74">
        <v>7.0957150000000002</v>
      </c>
      <c r="L440" s="74">
        <v>0</v>
      </c>
      <c r="M440" s="74">
        <v>0</v>
      </c>
      <c r="N440" s="74">
        <v>0</v>
      </c>
    </row>
    <row r="441" spans="1:14" x14ac:dyDescent="0.25">
      <c r="A441" t="str">
        <f>VLOOKUP(VALUE(RIGHT(B441,4)),'Waste Lookups'!$B$1:$C$295,2,FALSE)</f>
        <v>Oakland House 2nd Floor</v>
      </c>
      <c r="B441" s="74" t="s">
        <v>699</v>
      </c>
      <c r="C441" s="74" t="s">
        <v>1660</v>
      </c>
      <c r="D441" s="74">
        <v>0</v>
      </c>
      <c r="E441" s="74">
        <v>3.7764000000000002</v>
      </c>
      <c r="F441" s="74">
        <v>0</v>
      </c>
      <c r="G441" s="74">
        <v>0</v>
      </c>
      <c r="H441" s="74">
        <v>12.720293433247882</v>
      </c>
      <c r="I441" s="74"/>
      <c r="J441" s="74">
        <v>0</v>
      </c>
      <c r="K441" s="74">
        <v>4.1800007523360883</v>
      </c>
      <c r="L441" s="74">
        <v>0</v>
      </c>
      <c r="M441" s="74">
        <v>0</v>
      </c>
      <c r="N441" s="74">
        <v>14.07976806506513</v>
      </c>
    </row>
    <row r="442" spans="1:14" x14ac:dyDescent="0.25">
      <c r="A442" t="e">
        <f>VLOOKUP(VALUE(RIGHT(B442,4)),'Waste Lookups'!$B$1:$C$295,2,FALSE)</f>
        <v>#N/A</v>
      </c>
      <c r="B442" s="74" t="s">
        <v>1661</v>
      </c>
      <c r="C442" s="74" t="s">
        <v>1662</v>
      </c>
      <c r="D442" s="74">
        <v>4.111272727272727</v>
      </c>
      <c r="E442" s="74">
        <v>4.7226000000000008</v>
      </c>
      <c r="F442" s="74">
        <v>0</v>
      </c>
      <c r="G442" s="74">
        <v>0</v>
      </c>
      <c r="H442" s="74">
        <v>11.18515795701045</v>
      </c>
      <c r="I442" s="74"/>
      <c r="J442" s="74">
        <v>3.1653443955893548</v>
      </c>
      <c r="K442" s="74">
        <v>3.6360164927629834</v>
      </c>
      <c r="L442" s="74">
        <v>0</v>
      </c>
      <c r="M442" s="74">
        <v>0</v>
      </c>
      <c r="N442" s="74">
        <v>8.6116585791405402</v>
      </c>
    </row>
    <row r="443" spans="1:14" x14ac:dyDescent="0.25">
      <c r="A443" t="e">
        <f>VLOOKUP(VALUE(RIGHT(B443,4)),'Waste Lookups'!$B$1:$C$295,2,FALSE)</f>
        <v>#N/A</v>
      </c>
      <c r="B443" s="74" t="s">
        <v>1663</v>
      </c>
      <c r="C443" s="74" t="s">
        <v>1664</v>
      </c>
      <c r="D443" s="74">
        <v>0</v>
      </c>
      <c r="E443" s="74">
        <v>7.0184999999999995</v>
      </c>
      <c r="F443" s="74">
        <v>0</v>
      </c>
      <c r="G443" s="74">
        <v>0</v>
      </c>
      <c r="H443" s="74">
        <v>4.4172746992703615</v>
      </c>
      <c r="I443" s="74"/>
      <c r="J443" s="74">
        <v>0</v>
      </c>
      <c r="K443" s="74">
        <v>7.0412130164765507</v>
      </c>
      <c r="L443" s="74">
        <v>0</v>
      </c>
      <c r="M443" s="74">
        <v>0</v>
      </c>
      <c r="N443" s="74">
        <v>4.4315697242794068</v>
      </c>
    </row>
    <row r="444" spans="1:14" x14ac:dyDescent="0.25">
      <c r="A444" t="e">
        <f>VLOOKUP(VALUE(RIGHT(B444,4)),'Waste Lookups'!$B$1:$C$295,2,FALSE)</f>
        <v>#N/A</v>
      </c>
      <c r="B444" s="74" t="s">
        <v>1665</v>
      </c>
      <c r="C444" s="74" t="s">
        <v>1666</v>
      </c>
      <c r="D444" s="74">
        <v>0</v>
      </c>
      <c r="E444" s="74">
        <v>4.4992199999999993</v>
      </c>
      <c r="F444" s="74">
        <v>0</v>
      </c>
      <c r="G444" s="74">
        <v>0</v>
      </c>
      <c r="H444" s="74">
        <v>0</v>
      </c>
      <c r="I444" s="74"/>
      <c r="J444" s="74">
        <v>0</v>
      </c>
      <c r="K444" s="74">
        <v>6.7878250000000007</v>
      </c>
      <c r="L444" s="74">
        <v>0</v>
      </c>
      <c r="M444" s="74">
        <v>0</v>
      </c>
      <c r="N444" s="74">
        <v>0</v>
      </c>
    </row>
    <row r="445" spans="1:14" x14ac:dyDescent="0.25">
      <c r="A445" t="e">
        <f>VLOOKUP(VALUE(RIGHT(B445,4)),'Waste Lookups'!$B$1:$C$295,2,FALSE)</f>
        <v>#N/A</v>
      </c>
      <c r="B445" s="74" t="s">
        <v>1667</v>
      </c>
      <c r="C445" s="74" t="s">
        <v>1668</v>
      </c>
      <c r="D445" s="74">
        <v>0</v>
      </c>
      <c r="E445" s="74">
        <v>8.4540000000000006</v>
      </c>
      <c r="F445" s="74">
        <v>0</v>
      </c>
      <c r="G445" s="74">
        <v>0</v>
      </c>
      <c r="H445" s="74">
        <v>0</v>
      </c>
      <c r="I445" s="74"/>
      <c r="J445" s="74">
        <v>0</v>
      </c>
      <c r="K445" s="74">
        <v>7.9677949999999997</v>
      </c>
      <c r="L445" s="74">
        <v>0</v>
      </c>
      <c r="M445" s="74">
        <v>0</v>
      </c>
      <c r="N445" s="74">
        <v>0</v>
      </c>
    </row>
    <row r="446" spans="1:14" x14ac:dyDescent="0.25">
      <c r="A446" t="e">
        <f>VLOOKUP(VALUE(RIGHT(B446,4)),'Waste Lookups'!$B$1:$C$295,2,FALSE)</f>
        <v>#N/A</v>
      </c>
      <c r="B446" s="74" t="s">
        <v>1669</v>
      </c>
      <c r="C446" s="74" t="s">
        <v>1670</v>
      </c>
      <c r="D446" s="74">
        <v>0</v>
      </c>
      <c r="E446" s="74">
        <v>0.18906000000000001</v>
      </c>
      <c r="F446" s="74">
        <v>0</v>
      </c>
      <c r="G446" s="74">
        <v>0</v>
      </c>
      <c r="H446" s="74">
        <v>0</v>
      </c>
      <c r="I446" s="74"/>
      <c r="J446" s="74">
        <v>0</v>
      </c>
      <c r="K446" s="74">
        <v>0.28908</v>
      </c>
      <c r="L446" s="74">
        <v>0</v>
      </c>
      <c r="M446" s="74">
        <v>0</v>
      </c>
      <c r="N446" s="74">
        <v>0</v>
      </c>
    </row>
    <row r="447" spans="1:14" x14ac:dyDescent="0.25">
      <c r="A447" t="e">
        <f>VLOOKUP(VALUE(RIGHT(B447,4)),'Waste Lookups'!$B$1:$C$295,2,FALSE)</f>
        <v>#N/A</v>
      </c>
      <c r="B447" s="74" t="s">
        <v>1671</v>
      </c>
      <c r="C447" s="74" t="s">
        <v>1672</v>
      </c>
      <c r="D447" s="74">
        <v>0</v>
      </c>
      <c r="E447" s="74">
        <v>1.9581600000000001</v>
      </c>
      <c r="F447" s="74">
        <v>0</v>
      </c>
      <c r="G447" s="74">
        <v>0</v>
      </c>
      <c r="H447" s="74">
        <v>0</v>
      </c>
      <c r="I447" s="74"/>
      <c r="J447" s="74">
        <v>0</v>
      </c>
      <c r="K447" s="74">
        <v>0</v>
      </c>
      <c r="L447" s="74">
        <v>0</v>
      </c>
      <c r="M447" s="74">
        <v>0</v>
      </c>
      <c r="N447" s="74">
        <v>0</v>
      </c>
    </row>
    <row r="448" spans="1:14" x14ac:dyDescent="0.25">
      <c r="A448" t="e">
        <f>VLOOKUP(VALUE(RIGHT(B448,4)),'Waste Lookups'!$B$1:$C$295,2,FALSE)</f>
        <v>#N/A</v>
      </c>
      <c r="B448" s="74" t="s">
        <v>1673</v>
      </c>
      <c r="C448" s="74" t="s">
        <v>1674</v>
      </c>
      <c r="D448" s="74">
        <v>7.1568181818181822</v>
      </c>
      <c r="E448" s="74">
        <v>5.5749599999999999</v>
      </c>
      <c r="F448" s="74">
        <v>0</v>
      </c>
      <c r="G448" s="74">
        <v>0</v>
      </c>
      <c r="H448" s="74">
        <v>2.7828830605403274</v>
      </c>
      <c r="I448" s="74"/>
      <c r="J448" s="74">
        <v>5.8405780428948049</v>
      </c>
      <c r="K448" s="74">
        <v>4.5496459654008898</v>
      </c>
      <c r="L448" s="74">
        <v>0</v>
      </c>
      <c r="M448" s="74">
        <v>0</v>
      </c>
      <c r="N448" s="74">
        <v>2.271071485458152</v>
      </c>
    </row>
    <row r="449" spans="1:14" x14ac:dyDescent="0.25">
      <c r="A449" t="e">
        <f>VLOOKUP(VALUE(RIGHT(B449,4)),'Waste Lookups'!$B$1:$C$295,2,FALSE)</f>
        <v>#N/A</v>
      </c>
      <c r="B449" s="74" t="s">
        <v>1675</v>
      </c>
      <c r="C449" s="74" t="s">
        <v>1676</v>
      </c>
      <c r="D449" s="74">
        <v>8.1549696969696974</v>
      </c>
      <c r="E449" s="74">
        <v>4.3775399999999998</v>
      </c>
      <c r="F449" s="74">
        <v>0</v>
      </c>
      <c r="G449" s="74">
        <v>0</v>
      </c>
      <c r="H449" s="74">
        <v>3.755522776572668</v>
      </c>
      <c r="I449" s="74"/>
      <c r="J449" s="74">
        <v>7.5835573943475101</v>
      </c>
      <c r="K449" s="74">
        <v>4.0708092205894744</v>
      </c>
      <c r="L449" s="74">
        <v>0</v>
      </c>
      <c r="M449" s="74">
        <v>0</v>
      </c>
      <c r="N449" s="74">
        <v>3.4923762540161376</v>
      </c>
    </row>
    <row r="450" spans="1:14" x14ac:dyDescent="0.25">
      <c r="A450" t="e">
        <f>VLOOKUP(VALUE(RIGHT(B450,4)),'Waste Lookups'!$B$1:$C$295,2,FALSE)</f>
        <v>#N/A</v>
      </c>
      <c r="B450" s="74" t="s">
        <v>1677</v>
      </c>
      <c r="C450" s="74" t="s">
        <v>1678</v>
      </c>
      <c r="D450" s="74">
        <v>8.2872121212121215</v>
      </c>
      <c r="E450" s="74">
        <v>5.49024</v>
      </c>
      <c r="F450" s="74">
        <v>0</v>
      </c>
      <c r="G450" s="74">
        <v>0</v>
      </c>
      <c r="H450" s="74">
        <v>2.9551567738118716</v>
      </c>
      <c r="I450" s="74"/>
      <c r="J450" s="74">
        <v>5.9826993113859794</v>
      </c>
      <c r="K450" s="74">
        <v>3.9635108389791651</v>
      </c>
      <c r="L450" s="74">
        <v>0</v>
      </c>
      <c r="M450" s="74">
        <v>0</v>
      </c>
      <c r="N450" s="74">
        <v>2.1333850439846085</v>
      </c>
    </row>
    <row r="451" spans="1:14" x14ac:dyDescent="0.25">
      <c r="A451" t="e">
        <f>VLOOKUP(VALUE(RIGHT(B451,4)),'Waste Lookups'!$B$1:$C$295,2,FALSE)</f>
        <v>#N/A</v>
      </c>
      <c r="B451" s="74" t="s">
        <v>1679</v>
      </c>
      <c r="C451" s="74" t="s">
        <v>1680</v>
      </c>
      <c r="D451" s="74">
        <v>3.3724848484848491</v>
      </c>
      <c r="E451" s="74">
        <v>13.148999999999997</v>
      </c>
      <c r="F451" s="74">
        <v>0</v>
      </c>
      <c r="G451" s="74">
        <v>0</v>
      </c>
      <c r="H451" s="74">
        <v>2.7104397554722932</v>
      </c>
      <c r="I451" s="74"/>
      <c r="J451" s="74">
        <v>3.2365080380736537</v>
      </c>
      <c r="K451" s="74">
        <v>12.618839254904263</v>
      </c>
      <c r="L451" s="74">
        <v>0</v>
      </c>
      <c r="M451" s="74">
        <v>0</v>
      </c>
      <c r="N451" s="74">
        <v>2.6011562540426563</v>
      </c>
    </row>
    <row r="452" spans="1:14" x14ac:dyDescent="0.25">
      <c r="A452" t="e">
        <f>VLOOKUP(VALUE(RIGHT(B452,4)),'Waste Lookups'!$B$1:$C$295,2,FALSE)</f>
        <v>#N/A</v>
      </c>
      <c r="B452" s="74" t="s">
        <v>1681</v>
      </c>
      <c r="C452" s="74" t="s">
        <v>1682</v>
      </c>
      <c r="D452" s="74">
        <v>13.826969696969698</v>
      </c>
      <c r="E452" s="74">
        <v>5.0633999999999997</v>
      </c>
      <c r="F452" s="74">
        <v>8.2909090909090918E-2</v>
      </c>
      <c r="G452" s="74">
        <v>0</v>
      </c>
      <c r="H452" s="74">
        <v>3.0169986196016567</v>
      </c>
      <c r="I452" s="74"/>
      <c r="J452" s="74">
        <v>9.1253289896882581</v>
      </c>
      <c r="K452" s="74">
        <v>3.3416715172604881</v>
      </c>
      <c r="L452" s="74">
        <v>5.4717175734263455E-2</v>
      </c>
      <c r="M452" s="74">
        <v>0</v>
      </c>
      <c r="N452" s="74">
        <v>1.9911163160597751</v>
      </c>
    </row>
    <row r="453" spans="1:14" x14ac:dyDescent="0.25">
      <c r="A453" t="e">
        <f>VLOOKUP(VALUE(RIGHT(B453,4)),'Waste Lookups'!$B$1:$C$295,2,FALSE)</f>
        <v>#N/A</v>
      </c>
      <c r="B453" s="74" t="s">
        <v>1683</v>
      </c>
      <c r="C453" s="74" t="s">
        <v>1684</v>
      </c>
      <c r="D453" s="74">
        <v>0</v>
      </c>
      <c r="E453" s="74">
        <v>5.3301600000000002</v>
      </c>
      <c r="F453" s="74">
        <v>0</v>
      </c>
      <c r="G453" s="74">
        <v>0</v>
      </c>
      <c r="H453" s="74">
        <v>0.34454742654308812</v>
      </c>
      <c r="I453" s="74"/>
      <c r="J453" s="74">
        <v>0</v>
      </c>
      <c r="K453" s="74">
        <v>3.1588278331056747</v>
      </c>
      <c r="L453" s="74">
        <v>0</v>
      </c>
      <c r="M453" s="74">
        <v>0</v>
      </c>
      <c r="N453" s="74">
        <v>0.20419011826835218</v>
      </c>
    </row>
    <row r="454" spans="1:14" x14ac:dyDescent="0.25">
      <c r="A454" t="e">
        <f>VLOOKUP(VALUE(RIGHT(B454,4)),'Waste Lookups'!$B$1:$C$295,2,FALSE)</f>
        <v>#N/A</v>
      </c>
      <c r="B454" s="74" t="s">
        <v>1685</v>
      </c>
      <c r="C454" s="74" t="s">
        <v>1686</v>
      </c>
      <c r="D454" s="74">
        <v>17.799121212121211</v>
      </c>
      <c r="E454" s="74">
        <v>18.041160000000001</v>
      </c>
      <c r="F454" s="74">
        <v>0</v>
      </c>
      <c r="G454" s="74">
        <v>0</v>
      </c>
      <c r="H454" s="74">
        <v>9.2073232104121452</v>
      </c>
      <c r="I454" s="74"/>
      <c r="J454" s="74">
        <v>16.468187677003232</v>
      </c>
      <c r="K454" s="74">
        <v>16.692127956773213</v>
      </c>
      <c r="L454" s="74">
        <v>0</v>
      </c>
      <c r="M454" s="74">
        <v>0</v>
      </c>
      <c r="N454" s="74">
        <v>8.5188434206873325</v>
      </c>
    </row>
    <row r="455" spans="1:14" x14ac:dyDescent="0.25">
      <c r="A455" t="e">
        <f>VLOOKUP(VALUE(RIGHT(B455,4)),'Waste Lookups'!$B$1:$C$295,2,FALSE)</f>
        <v>#N/A</v>
      </c>
      <c r="B455" s="74" t="s">
        <v>1687</v>
      </c>
      <c r="C455" s="74" t="s">
        <v>1688</v>
      </c>
      <c r="D455" s="74">
        <v>0</v>
      </c>
      <c r="E455" s="74">
        <v>8.5990800000000007</v>
      </c>
      <c r="F455" s="74">
        <v>0</v>
      </c>
      <c r="G455" s="74">
        <v>0</v>
      </c>
      <c r="H455" s="74">
        <v>3.5217164267402876</v>
      </c>
      <c r="I455" s="74"/>
      <c r="J455" s="74">
        <v>0</v>
      </c>
      <c r="K455" s="74">
        <v>8.0651651260289459</v>
      </c>
      <c r="L455" s="74">
        <v>0</v>
      </c>
      <c r="M455" s="74">
        <v>0</v>
      </c>
      <c r="N455" s="74">
        <v>3.3030538742178277</v>
      </c>
    </row>
    <row r="456" spans="1:14" x14ac:dyDescent="0.25">
      <c r="A456" t="str">
        <f>VLOOKUP(VALUE(RIGHT(B456,4)),'Waste Lookups'!$B$1:$C$295,2,FALSE)</f>
        <v>Croston House Offices</v>
      </c>
      <c r="B456" s="74" t="s">
        <v>706</v>
      </c>
      <c r="C456" s="74" t="s">
        <v>1689</v>
      </c>
      <c r="D456" s="74">
        <v>0</v>
      </c>
      <c r="E456" s="74">
        <v>0</v>
      </c>
      <c r="F456" s="74">
        <v>0</v>
      </c>
      <c r="G456" s="74">
        <v>0</v>
      </c>
      <c r="H456" s="74">
        <v>3.7407690790771047</v>
      </c>
      <c r="I456" s="74"/>
      <c r="J456" s="74">
        <v>0</v>
      </c>
      <c r="K456" s="74">
        <v>0</v>
      </c>
      <c r="L456" s="74">
        <v>0</v>
      </c>
      <c r="M456" s="74">
        <v>0</v>
      </c>
      <c r="N456" s="74">
        <v>4.3090441070137384</v>
      </c>
    </row>
    <row r="457" spans="1:14" x14ac:dyDescent="0.25">
      <c r="A457" t="e">
        <f>VLOOKUP(VALUE(RIGHT(B457,4)),'Waste Lookups'!$B$1:$C$295,2,FALSE)</f>
        <v>#N/A</v>
      </c>
      <c r="B457" s="74" t="s">
        <v>1690</v>
      </c>
      <c r="C457" s="74" t="s">
        <v>1691</v>
      </c>
      <c r="D457" s="74">
        <v>6.6766666666666667</v>
      </c>
      <c r="E457" s="74">
        <v>7.2580200000000001</v>
      </c>
      <c r="F457" s="74">
        <v>0</v>
      </c>
      <c r="G457" s="74">
        <v>0</v>
      </c>
      <c r="H457" s="74">
        <v>2.4897968842437388</v>
      </c>
      <c r="I457" s="74"/>
      <c r="J457" s="74">
        <v>6.6439755209477172</v>
      </c>
      <c r="K457" s="74">
        <v>7.2224823580452746</v>
      </c>
      <c r="L457" s="74">
        <v>0</v>
      </c>
      <c r="M457" s="74">
        <v>0</v>
      </c>
      <c r="N457" s="74">
        <v>2.4776060236216622</v>
      </c>
    </row>
    <row r="458" spans="1:14" x14ac:dyDescent="0.25">
      <c r="A458" t="e">
        <f>VLOOKUP(VALUE(RIGHT(B458,4)),'Waste Lookups'!$B$1:$C$295,2,FALSE)</f>
        <v>#N/A</v>
      </c>
      <c r="B458" s="74" t="s">
        <v>1692</v>
      </c>
      <c r="C458" s="74" t="s">
        <v>1693</v>
      </c>
      <c r="D458" s="74">
        <v>5.378484848484848</v>
      </c>
      <c r="E458" s="74">
        <v>0</v>
      </c>
      <c r="F458" s="74">
        <v>0</v>
      </c>
      <c r="G458" s="74">
        <v>0</v>
      </c>
      <c r="H458" s="74">
        <v>2.2903569315716816</v>
      </c>
      <c r="I458" s="74"/>
      <c r="J458" s="74">
        <v>6.3175660203676252</v>
      </c>
      <c r="K458" s="74">
        <v>0</v>
      </c>
      <c r="L458" s="74">
        <v>0</v>
      </c>
      <c r="M458" s="74">
        <v>0</v>
      </c>
      <c r="N458" s="74">
        <v>2.6902522797822614</v>
      </c>
    </row>
    <row r="459" spans="1:14" x14ac:dyDescent="0.25">
      <c r="A459" t="e">
        <f>VLOOKUP(VALUE(RIGHT(B459,4)),'Waste Lookups'!$B$1:$C$295,2,FALSE)</f>
        <v>#N/A</v>
      </c>
      <c r="B459" s="74" t="s">
        <v>1694</v>
      </c>
      <c r="C459" s="74" t="s">
        <v>1695</v>
      </c>
      <c r="D459" s="74">
        <v>14.175242424242423</v>
      </c>
      <c r="E459" s="74">
        <v>4.2779999999999987</v>
      </c>
      <c r="F459" s="74">
        <v>0</v>
      </c>
      <c r="G459" s="74">
        <v>0</v>
      </c>
      <c r="H459" s="74">
        <v>3.6932392033129564</v>
      </c>
      <c r="I459" s="74"/>
      <c r="J459" s="74">
        <v>12.66616600399734</v>
      </c>
      <c r="K459" s="74">
        <v>3.8225701221470643</v>
      </c>
      <c r="L459" s="74">
        <v>0</v>
      </c>
      <c r="M459" s="74">
        <v>0</v>
      </c>
      <c r="N459" s="74">
        <v>3.3000621394404712</v>
      </c>
    </row>
    <row r="460" spans="1:14" x14ac:dyDescent="0.25">
      <c r="A460" t="e">
        <f>VLOOKUP(VALUE(RIGHT(B460,4)),'Waste Lookups'!$B$1:$C$295,2,FALSE)</f>
        <v>#N/A</v>
      </c>
      <c r="B460" s="74" t="s">
        <v>1696</v>
      </c>
      <c r="C460" s="74" t="s">
        <v>1697</v>
      </c>
      <c r="D460" s="74">
        <v>0.35045454545454546</v>
      </c>
      <c r="E460" s="74">
        <v>7.3099199999999991</v>
      </c>
      <c r="F460" s="74">
        <v>0</v>
      </c>
      <c r="G460" s="74">
        <v>0</v>
      </c>
      <c r="H460" s="74">
        <v>3.0169986196016567</v>
      </c>
      <c r="I460" s="74"/>
      <c r="J460" s="74">
        <v>0.29972895605784911</v>
      </c>
      <c r="K460" s="74">
        <v>6.2518655240286156</v>
      </c>
      <c r="L460" s="74">
        <v>0</v>
      </c>
      <c r="M460" s="74">
        <v>0</v>
      </c>
      <c r="N460" s="74">
        <v>2.5803113653678182</v>
      </c>
    </row>
    <row r="461" spans="1:14" x14ac:dyDescent="0.25">
      <c r="A461" t="e">
        <f>VLOOKUP(VALUE(RIGHT(B461,4)),'Waste Lookups'!$B$1:$C$295,2,FALSE)</f>
        <v>#N/A</v>
      </c>
      <c r="B461" s="74" t="s">
        <v>1698</v>
      </c>
      <c r="C461" s="74" t="s">
        <v>1699</v>
      </c>
      <c r="D461" s="74">
        <v>8.4466363636363635</v>
      </c>
      <c r="E461" s="74">
        <v>6.4320000000000004</v>
      </c>
      <c r="F461" s="74">
        <v>0</v>
      </c>
      <c r="G461" s="74">
        <v>0</v>
      </c>
      <c r="H461" s="74">
        <v>4.7606294616446458</v>
      </c>
      <c r="I461" s="74"/>
      <c r="J461" s="74">
        <v>7.528539646089218</v>
      </c>
      <c r="K461" s="74">
        <v>5.7328816962115559</v>
      </c>
      <c r="L461" s="74">
        <v>0</v>
      </c>
      <c r="M461" s="74">
        <v>0</v>
      </c>
      <c r="N461" s="74">
        <v>4.243178716279238</v>
      </c>
    </row>
    <row r="462" spans="1:14" x14ac:dyDescent="0.25">
      <c r="A462" t="str">
        <f>VLOOKUP(VALUE(RIGHT(B462,4)),'Waste Lookups'!$B$1:$C$295,2,FALSE)</f>
        <v>Jubilee House</v>
      </c>
      <c r="B462" s="74" t="s">
        <v>707</v>
      </c>
      <c r="C462" s="74" t="s">
        <v>1700</v>
      </c>
      <c r="D462" s="74">
        <v>0</v>
      </c>
      <c r="E462" s="74">
        <v>21.203099999999999</v>
      </c>
      <c r="F462" s="74">
        <v>0</v>
      </c>
      <c r="G462" s="74">
        <v>0</v>
      </c>
      <c r="H462" s="74">
        <v>20.905945178465789</v>
      </c>
      <c r="I462" s="74"/>
      <c r="J462" s="74">
        <v>0</v>
      </c>
      <c r="K462" s="74">
        <v>18.650721818137278</v>
      </c>
      <c r="L462" s="74">
        <v>0</v>
      </c>
      <c r="M462" s="74">
        <v>0</v>
      </c>
      <c r="N462" s="74">
        <v>18.389337779324425</v>
      </c>
    </row>
    <row r="463" spans="1:14" x14ac:dyDescent="0.25">
      <c r="A463" t="e">
        <f>VLOOKUP(VALUE(RIGHT(B463,4)),'Waste Lookups'!$B$1:$C$295,2,FALSE)</f>
        <v>#N/A</v>
      </c>
      <c r="B463" s="74" t="s">
        <v>1701</v>
      </c>
      <c r="C463" s="74" t="s">
        <v>1702</v>
      </c>
      <c r="D463" s="74">
        <v>8.1464545454545476</v>
      </c>
      <c r="E463" s="74">
        <v>0</v>
      </c>
      <c r="F463" s="74">
        <v>0</v>
      </c>
      <c r="G463" s="74">
        <v>0</v>
      </c>
      <c r="H463" s="74">
        <v>4.0051429698284364</v>
      </c>
      <c r="I463" s="74"/>
      <c r="J463" s="74">
        <v>9.0653627955353162</v>
      </c>
      <c r="K463" s="74">
        <v>0</v>
      </c>
      <c r="L463" s="74">
        <v>0</v>
      </c>
      <c r="M463" s="74">
        <v>0</v>
      </c>
      <c r="N463" s="74">
        <v>4.4569172843100509</v>
      </c>
    </row>
    <row r="464" spans="1:14" x14ac:dyDescent="0.25">
      <c r="A464" t="e">
        <f>VLOOKUP(VALUE(RIGHT(B464,4)),'Waste Lookups'!$B$1:$C$295,2,FALSE)</f>
        <v>#N/A</v>
      </c>
      <c r="B464" s="74" t="s">
        <v>1703</v>
      </c>
      <c r="C464" s="74" t="s">
        <v>1704</v>
      </c>
      <c r="D464" s="74">
        <v>1.6333333333333335</v>
      </c>
      <c r="E464" s="74">
        <v>0.26178000000000001</v>
      </c>
      <c r="F464" s="74">
        <v>0</v>
      </c>
      <c r="G464" s="74">
        <v>0</v>
      </c>
      <c r="H464" s="74">
        <v>4.4686476040228742</v>
      </c>
      <c r="I464" s="74"/>
      <c r="J464" s="74">
        <v>3.6874682715910003</v>
      </c>
      <c r="K464" s="74">
        <v>0.59100333314515829</v>
      </c>
      <c r="L464" s="74">
        <v>0</v>
      </c>
      <c r="M464" s="74">
        <v>0</v>
      </c>
      <c r="N464" s="74">
        <v>10.088569136789078</v>
      </c>
    </row>
    <row r="465" spans="1:14" x14ac:dyDescent="0.25">
      <c r="A465" t="e">
        <f>VLOOKUP(VALUE(RIGHT(B465,4)),'Waste Lookups'!$B$1:$C$295,2,FALSE)</f>
        <v>#N/A</v>
      </c>
      <c r="B465" s="74" t="s">
        <v>1705</v>
      </c>
      <c r="C465" s="74" t="s">
        <v>1706</v>
      </c>
      <c r="D465" s="74">
        <v>8.3355454545454535</v>
      </c>
      <c r="E465" s="74">
        <v>4.3775399999999998</v>
      </c>
      <c r="F465" s="74">
        <v>0</v>
      </c>
      <c r="G465" s="74">
        <v>0</v>
      </c>
      <c r="H465" s="74">
        <v>4.7604969434036688</v>
      </c>
      <c r="I465" s="74"/>
      <c r="J465" s="74">
        <v>7.6127704560679135</v>
      </c>
      <c r="K465" s="74">
        <v>3.9979635842646588</v>
      </c>
      <c r="L465" s="74">
        <v>0</v>
      </c>
      <c r="M465" s="74">
        <v>0</v>
      </c>
      <c r="N465" s="74">
        <v>4.3477143379000731</v>
      </c>
    </row>
    <row r="466" spans="1:14" x14ac:dyDescent="0.25">
      <c r="A466" t="e">
        <f>VLOOKUP(VALUE(RIGHT(B466,4)),'Waste Lookups'!$B$1:$C$295,2,FALSE)</f>
        <v>#N/A</v>
      </c>
      <c r="B466" s="74" t="s">
        <v>1707</v>
      </c>
      <c r="C466" s="74" t="s">
        <v>1708</v>
      </c>
      <c r="D466" s="74">
        <v>0</v>
      </c>
      <c r="E466" s="74">
        <v>0</v>
      </c>
      <c r="F466" s="74">
        <v>0</v>
      </c>
      <c r="G466" s="74">
        <v>0</v>
      </c>
      <c r="H466" s="74">
        <v>8.3590297771642668</v>
      </c>
      <c r="I466" s="74"/>
      <c r="J466" s="74">
        <v>0</v>
      </c>
      <c r="K466" s="74">
        <v>0</v>
      </c>
      <c r="L466" s="74">
        <v>0</v>
      </c>
      <c r="M466" s="74">
        <v>0</v>
      </c>
      <c r="N466" s="74">
        <v>9.6875950831525657</v>
      </c>
    </row>
    <row r="467" spans="1:14" x14ac:dyDescent="0.25">
      <c r="A467" t="str">
        <f>VLOOKUP(VALUE(RIGHT(B467,4)),'Waste Lookups'!$B$1:$C$295,2,FALSE)</f>
        <v>ODGH Hilldale Unit</v>
      </c>
      <c r="B467" s="74" t="s">
        <v>708</v>
      </c>
      <c r="C467" s="74" t="s">
        <v>1709</v>
      </c>
      <c r="D467" s="74">
        <v>0</v>
      </c>
      <c r="E467" s="74">
        <v>0</v>
      </c>
      <c r="F467" s="74">
        <v>0</v>
      </c>
      <c r="G467" s="74">
        <v>0</v>
      </c>
      <c r="H467" s="74">
        <v>6.07251587458095</v>
      </c>
      <c r="I467" s="74"/>
      <c r="J467" s="74">
        <v>0</v>
      </c>
      <c r="K467" s="74">
        <v>0</v>
      </c>
      <c r="L467" s="74">
        <v>0</v>
      </c>
      <c r="M467" s="74">
        <v>0</v>
      </c>
      <c r="N467" s="74">
        <v>0</v>
      </c>
    </row>
    <row r="468" spans="1:14" x14ac:dyDescent="0.25">
      <c r="A468" t="e">
        <f>VLOOKUP(VALUE(RIGHT(B468,4)),'Waste Lookups'!$B$1:$C$295,2,FALSE)</f>
        <v>#N/A</v>
      </c>
      <c r="B468" s="74" t="s">
        <v>1710</v>
      </c>
      <c r="C468" s="74" t="s">
        <v>1711</v>
      </c>
      <c r="D468" s="74">
        <v>8.8859696969696955</v>
      </c>
      <c r="E468" s="74">
        <v>7.0015199999999993</v>
      </c>
      <c r="F468" s="74">
        <v>0</v>
      </c>
      <c r="G468" s="74">
        <v>0</v>
      </c>
      <c r="H468" s="74">
        <v>3.4953011240386513</v>
      </c>
      <c r="I468" s="74"/>
      <c r="J468" s="74">
        <v>7.082270551853421</v>
      </c>
      <c r="K468" s="74">
        <v>5.580331759529054</v>
      </c>
      <c r="L468" s="74">
        <v>0</v>
      </c>
      <c r="M468" s="74">
        <v>0</v>
      </c>
      <c r="N468" s="74">
        <v>2.7858150618137905</v>
      </c>
    </row>
    <row r="469" spans="1:14" x14ac:dyDescent="0.25">
      <c r="A469" t="str">
        <f>VLOOKUP(VALUE(RIGHT(B469,4)),'Waste Lookups'!$B$1:$C$295,2,FALSE)</f>
        <v>Preston Healthport</v>
      </c>
      <c r="B469" s="74" t="s">
        <v>709</v>
      </c>
      <c r="C469" s="74" t="s">
        <v>1712</v>
      </c>
      <c r="D469" s="74">
        <v>10.359878787878786</v>
      </c>
      <c r="E469" s="74">
        <v>3.0719999999999996</v>
      </c>
      <c r="F469" s="74">
        <v>0</v>
      </c>
      <c r="G469" s="74">
        <v>0</v>
      </c>
      <c r="H469" s="74">
        <v>8.5431859593768493</v>
      </c>
      <c r="I469" s="74"/>
      <c r="J469" s="74">
        <v>12.912792769858591</v>
      </c>
      <c r="K469" s="74">
        <v>3.829011921975173</v>
      </c>
      <c r="L469" s="74">
        <v>0</v>
      </c>
      <c r="M469" s="74">
        <v>0</v>
      </c>
      <c r="N469" s="74">
        <v>10.648424768914344</v>
      </c>
    </row>
    <row r="470" spans="1:14" x14ac:dyDescent="0.25">
      <c r="A470" t="e">
        <f>VLOOKUP(VALUE(RIGHT(B470,4)),'Waste Lookups'!$B$1:$C$295,2,FALSE)</f>
        <v>#N/A</v>
      </c>
      <c r="B470" s="74" t="s">
        <v>1713</v>
      </c>
      <c r="C470" s="74" t="s">
        <v>1714</v>
      </c>
      <c r="D470" s="74">
        <v>15.474484848484851</v>
      </c>
      <c r="E470" s="74">
        <v>6.4211999999999998</v>
      </c>
      <c r="F470" s="74">
        <v>0.12001818181818183</v>
      </c>
      <c r="G470" s="74">
        <v>0</v>
      </c>
      <c r="H470" s="74">
        <v>3.0169986196016567</v>
      </c>
      <c r="I470" s="74"/>
      <c r="J470" s="74">
        <v>10.82395691329878</v>
      </c>
      <c r="K470" s="74">
        <v>4.4914446466034921</v>
      </c>
      <c r="L470" s="74">
        <v>8.394926496953177E-2</v>
      </c>
      <c r="M470" s="74">
        <v>0</v>
      </c>
      <c r="N470" s="74">
        <v>2.1103037280913206</v>
      </c>
    </row>
    <row r="471" spans="1:14" x14ac:dyDescent="0.25">
      <c r="A471" t="e">
        <f>VLOOKUP(VALUE(RIGHT(B471,4)),'Waste Lookups'!$B$1:$C$295,2,FALSE)</f>
        <v>#N/A</v>
      </c>
      <c r="B471" s="74" t="s">
        <v>1715</v>
      </c>
      <c r="C471" s="74" t="s">
        <v>1716</v>
      </c>
      <c r="D471" s="74">
        <v>10.636606060606059</v>
      </c>
      <c r="E471" s="74">
        <v>5.8574399999999995</v>
      </c>
      <c r="F471" s="74">
        <v>0</v>
      </c>
      <c r="G471" s="74">
        <v>0</v>
      </c>
      <c r="H471" s="74">
        <v>3.136265036481956</v>
      </c>
      <c r="I471" s="74"/>
      <c r="J471" s="74">
        <v>7.6473361318950506</v>
      </c>
      <c r="K471" s="74">
        <v>4.2112881023493554</v>
      </c>
      <c r="L471" s="74">
        <v>0</v>
      </c>
      <c r="M471" s="74">
        <v>0</v>
      </c>
      <c r="N471" s="74">
        <v>2.2548614469718387</v>
      </c>
    </row>
    <row r="472" spans="1:14" x14ac:dyDescent="0.25">
      <c r="A472" t="e">
        <f>VLOOKUP(VALUE(RIGHT(B472,4)),'Waste Lookups'!$B$1:$C$295,2,FALSE)</f>
        <v>#N/A</v>
      </c>
      <c r="B472" s="74" t="s">
        <v>1717</v>
      </c>
      <c r="C472" s="74" t="s">
        <v>1718</v>
      </c>
      <c r="D472" s="74">
        <v>5.413787878787879</v>
      </c>
      <c r="E472" s="74">
        <v>13.0365</v>
      </c>
      <c r="F472" s="74">
        <v>0</v>
      </c>
      <c r="G472" s="74">
        <v>0</v>
      </c>
      <c r="H472" s="74">
        <v>3.4025383553539732</v>
      </c>
      <c r="I472" s="74"/>
      <c r="J472" s="74">
        <v>3.4551952766184071</v>
      </c>
      <c r="K472" s="74">
        <v>8.3201732746353798</v>
      </c>
      <c r="L472" s="74">
        <v>0</v>
      </c>
      <c r="M472" s="74">
        <v>0</v>
      </c>
      <c r="N472" s="74">
        <v>2.1715727910204388</v>
      </c>
    </row>
    <row r="473" spans="1:14" x14ac:dyDescent="0.25">
      <c r="A473" t="e">
        <f>VLOOKUP(VALUE(RIGHT(B473,4)),'Waste Lookups'!$B$1:$C$295,2,FALSE)</f>
        <v>#N/A</v>
      </c>
      <c r="B473" s="74" t="s">
        <v>1719</v>
      </c>
      <c r="C473" s="74" t="s">
        <v>1720</v>
      </c>
      <c r="D473" s="74">
        <v>7.8847272727272726</v>
      </c>
      <c r="E473" s="74">
        <v>14.772360000000001</v>
      </c>
      <c r="F473" s="74">
        <v>0</v>
      </c>
      <c r="G473" s="74">
        <v>1.4671800000000002</v>
      </c>
      <c r="H473" s="74">
        <v>0</v>
      </c>
      <c r="I473" s="74"/>
      <c r="J473" s="74">
        <v>17.949420895956415</v>
      </c>
      <c r="K473" s="74">
        <v>33.628976386253022</v>
      </c>
      <c r="L473" s="74">
        <v>0</v>
      </c>
      <c r="M473" s="74">
        <v>3.3400053596299246</v>
      </c>
      <c r="N473" s="74">
        <v>0</v>
      </c>
    </row>
    <row r="474" spans="1:14" x14ac:dyDescent="0.25">
      <c r="A474" t="e">
        <f>VLOOKUP(VALUE(RIGHT(B474,4)),'Waste Lookups'!$B$1:$C$295,2,FALSE)</f>
        <v>#N/A</v>
      </c>
      <c r="B474" s="74" t="s">
        <v>1721</v>
      </c>
      <c r="C474" s="74" t="s">
        <v>1722</v>
      </c>
      <c r="D474" s="74">
        <v>7.394151515151516</v>
      </c>
      <c r="E474" s="74">
        <v>7.8998400000000011</v>
      </c>
      <c r="F474" s="74">
        <v>0</v>
      </c>
      <c r="G474" s="74">
        <v>2.9343600000000003</v>
      </c>
      <c r="H474" s="74">
        <v>0</v>
      </c>
      <c r="I474" s="74"/>
      <c r="J474" s="74">
        <v>7.5391836173194813</v>
      </c>
      <c r="K474" s="74">
        <v>8.0547908959402363</v>
      </c>
      <c r="L474" s="74">
        <v>0</v>
      </c>
      <c r="M474" s="74">
        <v>2.9919158126507863</v>
      </c>
      <c r="N474" s="74">
        <v>0</v>
      </c>
    </row>
    <row r="475" spans="1:14" x14ac:dyDescent="0.25">
      <c r="A475" t="e">
        <f>VLOOKUP(VALUE(RIGHT(B475,4)),'Waste Lookups'!$B$1:$C$295,2,FALSE)</f>
        <v>#N/A</v>
      </c>
      <c r="B475" s="74" t="s">
        <v>1723</v>
      </c>
      <c r="C475" s="74" t="s">
        <v>1724</v>
      </c>
      <c r="D475" s="74">
        <v>2.7804242424242425</v>
      </c>
      <c r="E475" s="74">
        <v>5.4432600000000004</v>
      </c>
      <c r="F475" s="74">
        <v>0</v>
      </c>
      <c r="G475" s="74">
        <v>1.9539</v>
      </c>
      <c r="H475" s="74">
        <v>0</v>
      </c>
      <c r="I475" s="74"/>
      <c r="J475" s="74">
        <v>3.6113253778572263</v>
      </c>
      <c r="K475" s="74">
        <v>7.0699221637975382</v>
      </c>
      <c r="L475" s="74">
        <v>0</v>
      </c>
      <c r="M475" s="74">
        <v>2.5378028820677323</v>
      </c>
      <c r="N475" s="74">
        <v>0</v>
      </c>
    </row>
    <row r="476" spans="1:14" x14ac:dyDescent="0.25">
      <c r="A476" t="e">
        <f>VLOOKUP(VALUE(RIGHT(B476,4)),'Waste Lookups'!$B$1:$C$295,2,FALSE)</f>
        <v>#N/A</v>
      </c>
      <c r="B476" s="74" t="s">
        <v>1725</v>
      </c>
      <c r="C476" s="74" t="s">
        <v>1726</v>
      </c>
      <c r="D476" s="74">
        <v>2.9003333333333341</v>
      </c>
      <c r="E476" s="74">
        <v>11.37012</v>
      </c>
      <c r="F476" s="74">
        <v>0</v>
      </c>
      <c r="G476" s="74">
        <v>0</v>
      </c>
      <c r="H476" s="74">
        <v>0</v>
      </c>
      <c r="I476" s="74"/>
      <c r="J476" s="74">
        <v>0.72169620618820174</v>
      </c>
      <c r="K476" s="74">
        <v>2.8292515117473602</v>
      </c>
      <c r="L476" s="74">
        <v>0</v>
      </c>
      <c r="M476" s="74">
        <v>0</v>
      </c>
      <c r="N476" s="74">
        <v>0</v>
      </c>
    </row>
    <row r="477" spans="1:14" x14ac:dyDescent="0.25">
      <c r="A477" t="e">
        <f>VLOOKUP(VALUE(RIGHT(B477,4)),'Waste Lookups'!$B$1:$C$295,2,FALSE)</f>
        <v>#N/A</v>
      </c>
      <c r="B477" s="74" t="s">
        <v>1727</v>
      </c>
      <c r="C477" s="74" t="s">
        <v>1728</v>
      </c>
      <c r="D477" s="74">
        <v>3.168181818181818</v>
      </c>
      <c r="E477" s="74">
        <v>2.9585399999999997</v>
      </c>
      <c r="F477" s="74">
        <v>0</v>
      </c>
      <c r="G477" s="74">
        <v>2.2544999999999997</v>
      </c>
      <c r="H477" s="74">
        <v>0</v>
      </c>
      <c r="I477" s="74"/>
      <c r="J477" s="74">
        <v>4.0251770453135389</v>
      </c>
      <c r="K477" s="74">
        <v>3.7588269799730583</v>
      </c>
      <c r="L477" s="74">
        <v>0</v>
      </c>
      <c r="M477" s="74">
        <v>2.8643437054591989</v>
      </c>
      <c r="N477" s="74">
        <v>0</v>
      </c>
    </row>
    <row r="478" spans="1:14" x14ac:dyDescent="0.25">
      <c r="A478" t="e">
        <f>VLOOKUP(VALUE(RIGHT(B478,4)),'Waste Lookups'!$B$1:$C$295,2,FALSE)</f>
        <v>#N/A</v>
      </c>
      <c r="B478" s="74" t="s">
        <v>1729</v>
      </c>
      <c r="C478" s="74" t="s">
        <v>1730</v>
      </c>
      <c r="D478" s="74">
        <v>4.2101818181818178</v>
      </c>
      <c r="E478" s="74">
        <v>6.2380800000000001</v>
      </c>
      <c r="F478" s="74">
        <v>0</v>
      </c>
      <c r="G478" s="74">
        <v>0</v>
      </c>
      <c r="H478" s="74">
        <v>0</v>
      </c>
      <c r="I478" s="74"/>
      <c r="J478" s="74">
        <v>4.1543474184588689</v>
      </c>
      <c r="K478" s="74">
        <v>6.1553521114514362</v>
      </c>
      <c r="L478" s="74">
        <v>0</v>
      </c>
      <c r="M478" s="74">
        <v>0</v>
      </c>
      <c r="N478" s="74">
        <v>0</v>
      </c>
    </row>
    <row r="479" spans="1:14" x14ac:dyDescent="0.25">
      <c r="A479" t="e">
        <f>VLOOKUP(VALUE(RIGHT(B479,4)),'Waste Lookups'!$B$1:$C$295,2,FALSE)</f>
        <v>#N/A</v>
      </c>
      <c r="B479" s="74" t="s">
        <v>1731</v>
      </c>
      <c r="C479" s="74" t="s">
        <v>1732</v>
      </c>
      <c r="D479" s="74">
        <v>0</v>
      </c>
      <c r="E479" s="74">
        <v>7.94604</v>
      </c>
      <c r="F479" s="74">
        <v>0</v>
      </c>
      <c r="G479" s="74">
        <v>2.3446799999999999</v>
      </c>
      <c r="H479" s="74">
        <v>0</v>
      </c>
      <c r="I479" s="74"/>
      <c r="J479" s="74">
        <v>0</v>
      </c>
      <c r="K479" s="74">
        <v>7.3990434425753682</v>
      </c>
      <c r="L479" s="74">
        <v>0</v>
      </c>
      <c r="M479" s="74">
        <v>2.1832748361369458</v>
      </c>
      <c r="N479" s="74">
        <v>0</v>
      </c>
    </row>
    <row r="480" spans="1:14" x14ac:dyDescent="0.25">
      <c r="A480" t="e">
        <f>VLOOKUP(VALUE(RIGHT(B480,4)),'Waste Lookups'!$B$1:$C$295,2,FALSE)</f>
        <v>#N/A</v>
      </c>
      <c r="B480" s="74" t="s">
        <v>1733</v>
      </c>
      <c r="C480" s="74" t="s">
        <v>1734</v>
      </c>
      <c r="D480" s="74">
        <v>4.1948484848484853</v>
      </c>
      <c r="E480" s="74">
        <v>2.4535200000000001</v>
      </c>
      <c r="F480" s="74">
        <v>0</v>
      </c>
      <c r="G480" s="74">
        <v>1.1737799999999998</v>
      </c>
      <c r="H480" s="74">
        <v>0</v>
      </c>
      <c r="I480" s="74"/>
      <c r="J480" s="74">
        <v>3.5266436893944122</v>
      </c>
      <c r="K480" s="74">
        <v>2.0626944825435118</v>
      </c>
      <c r="L480" s="74">
        <v>0</v>
      </c>
      <c r="M480" s="74">
        <v>0.98680651868332947</v>
      </c>
      <c r="N480" s="74">
        <v>0</v>
      </c>
    </row>
    <row r="481" spans="1:14" x14ac:dyDescent="0.25">
      <c r="A481" t="e">
        <f>VLOOKUP(VALUE(RIGHT(B481,4)),'Waste Lookups'!$B$1:$C$295,2,FALSE)</f>
        <v>#N/A</v>
      </c>
      <c r="B481" s="74" t="s">
        <v>1735</v>
      </c>
      <c r="C481" s="74" t="s">
        <v>1736</v>
      </c>
      <c r="D481" s="74">
        <v>18.47578787878788</v>
      </c>
      <c r="E481" s="74">
        <v>24.315719999999999</v>
      </c>
      <c r="F481" s="74">
        <v>0</v>
      </c>
      <c r="G481" s="74">
        <v>0</v>
      </c>
      <c r="H481" s="74">
        <v>0</v>
      </c>
      <c r="I481" s="74"/>
      <c r="J481" s="74">
        <v>14.795666623287968</v>
      </c>
      <c r="K481" s="74">
        <v>19.472365085889834</v>
      </c>
      <c r="L481" s="74">
        <v>0</v>
      </c>
      <c r="M481" s="74">
        <v>0</v>
      </c>
      <c r="N481" s="74">
        <v>0</v>
      </c>
    </row>
    <row r="482" spans="1:14" x14ac:dyDescent="0.25">
      <c r="A482" t="e">
        <f>VLOOKUP(VALUE(RIGHT(B482,4)),'Waste Lookups'!$B$1:$C$295,2,FALSE)</f>
        <v>#N/A</v>
      </c>
      <c r="B482" s="74" t="s">
        <v>1737</v>
      </c>
      <c r="C482" s="74" t="s">
        <v>1738</v>
      </c>
      <c r="D482" s="74">
        <v>4.751969696969697</v>
      </c>
      <c r="E482" s="74">
        <v>5.6153999999999993</v>
      </c>
      <c r="F482" s="74">
        <v>0</v>
      </c>
      <c r="G482" s="74">
        <v>0</v>
      </c>
      <c r="H482" s="74">
        <v>0</v>
      </c>
      <c r="I482" s="74"/>
      <c r="J482" s="74">
        <v>10.420098580299912</v>
      </c>
      <c r="K482" s="74">
        <v>12.313424811006168</v>
      </c>
      <c r="L482" s="74">
        <v>0</v>
      </c>
      <c r="M482" s="74">
        <v>0</v>
      </c>
      <c r="N482" s="74">
        <v>0</v>
      </c>
    </row>
    <row r="483" spans="1:14" x14ac:dyDescent="0.25">
      <c r="A483" t="e">
        <f>VLOOKUP(VALUE(RIGHT(B483,4)),'Waste Lookups'!$B$1:$C$295,2,FALSE)</f>
        <v>#N/A</v>
      </c>
      <c r="B483" s="74" t="s">
        <v>1739</v>
      </c>
      <c r="C483" s="74" t="s">
        <v>1740</v>
      </c>
      <c r="D483" s="74">
        <v>7.294060606060607</v>
      </c>
      <c r="E483" s="74">
        <v>5.9004599999999989</v>
      </c>
      <c r="F483" s="74">
        <v>0</v>
      </c>
      <c r="G483" s="74">
        <v>4.6893599999999998</v>
      </c>
      <c r="H483" s="74">
        <v>0</v>
      </c>
      <c r="I483" s="74"/>
      <c r="J483" s="74">
        <v>2.9984061157711719</v>
      </c>
      <c r="K483" s="74">
        <v>2.4255317175679858</v>
      </c>
      <c r="L483" s="74">
        <v>0</v>
      </c>
      <c r="M483" s="74">
        <v>1.9276787598076435</v>
      </c>
      <c r="N483" s="74">
        <v>0</v>
      </c>
    </row>
    <row r="484" spans="1:14" x14ac:dyDescent="0.25">
      <c r="A484" t="e">
        <f>VLOOKUP(VALUE(RIGHT(B484,4)),'Waste Lookups'!$B$1:$C$295,2,FALSE)</f>
        <v>#N/A</v>
      </c>
      <c r="B484" s="74" t="s">
        <v>1741</v>
      </c>
      <c r="C484" s="74" t="s">
        <v>1742</v>
      </c>
      <c r="D484" s="74">
        <v>1.0055757575757576</v>
      </c>
      <c r="E484" s="74">
        <v>0</v>
      </c>
      <c r="F484" s="74">
        <v>0</v>
      </c>
      <c r="G484" s="74">
        <v>0</v>
      </c>
      <c r="H484" s="74">
        <v>0</v>
      </c>
      <c r="I484" s="74"/>
      <c r="J484" s="74">
        <v>7.0061111111111112</v>
      </c>
      <c r="K484" s="74">
        <v>0</v>
      </c>
      <c r="L484" s="74">
        <v>0</v>
      </c>
      <c r="M484" s="74">
        <v>0</v>
      </c>
      <c r="N484" s="74">
        <v>0</v>
      </c>
    </row>
    <row r="485" spans="1:14" x14ac:dyDescent="0.25">
      <c r="A485" t="e">
        <f>VLOOKUP(VALUE(RIGHT(B485,4)),'Waste Lookups'!$B$1:$C$295,2,FALSE)</f>
        <v>#N/A</v>
      </c>
      <c r="B485" s="74" t="s">
        <v>1743</v>
      </c>
      <c r="C485" s="74" t="s">
        <v>1744</v>
      </c>
      <c r="D485" s="74">
        <v>5.811454545454545</v>
      </c>
      <c r="E485" s="74">
        <v>14.595359999999999</v>
      </c>
      <c r="F485" s="74">
        <v>0</v>
      </c>
      <c r="G485" s="74">
        <v>3.85812</v>
      </c>
      <c r="H485" s="74">
        <v>0</v>
      </c>
      <c r="I485" s="74"/>
      <c r="J485" s="74">
        <v>4.8555711509193644</v>
      </c>
      <c r="K485" s="74">
        <v>12.194676633703141</v>
      </c>
      <c r="L485" s="74">
        <v>0</v>
      </c>
      <c r="M485" s="74">
        <v>3.2235262312147674</v>
      </c>
      <c r="N485" s="74">
        <v>0</v>
      </c>
    </row>
    <row r="486" spans="1:14" x14ac:dyDescent="0.25">
      <c r="A486" t="e">
        <f>VLOOKUP(VALUE(RIGHT(B486,4)),'Waste Lookups'!$B$1:$C$295,2,FALSE)</f>
        <v>#N/A</v>
      </c>
      <c r="B486" s="74" t="s">
        <v>1745</v>
      </c>
      <c r="C486" s="74" t="s">
        <v>1746</v>
      </c>
      <c r="D486" s="74">
        <v>5.2063636363636361</v>
      </c>
      <c r="E486" s="74">
        <v>6.0510000000000002</v>
      </c>
      <c r="F486" s="74">
        <v>0</v>
      </c>
      <c r="G486" s="74">
        <v>2.3446799999999999</v>
      </c>
      <c r="H486" s="74">
        <v>0</v>
      </c>
      <c r="I486" s="74"/>
      <c r="J486" s="74">
        <v>2.0876571999116207</v>
      </c>
      <c r="K486" s="74">
        <v>2.4263410316626048</v>
      </c>
      <c r="L486" s="74">
        <v>0</v>
      </c>
      <c r="M486" s="74">
        <v>0.94017406876857967</v>
      </c>
      <c r="N486" s="74">
        <v>0</v>
      </c>
    </row>
    <row r="487" spans="1:14" x14ac:dyDescent="0.25">
      <c r="A487" t="e">
        <f>VLOOKUP(VALUE(RIGHT(B487,4)),'Waste Lookups'!$B$1:$C$295,2,FALSE)</f>
        <v>#N/A</v>
      </c>
      <c r="B487" s="74" t="s">
        <v>1747</v>
      </c>
      <c r="C487" s="74" t="s">
        <v>1748</v>
      </c>
      <c r="D487" s="74">
        <v>0</v>
      </c>
      <c r="E487" s="74">
        <v>3.1374</v>
      </c>
      <c r="F487" s="74">
        <v>0</v>
      </c>
      <c r="G487" s="74">
        <v>0</v>
      </c>
      <c r="H487" s="74">
        <v>0</v>
      </c>
      <c r="I487" s="74"/>
      <c r="J487" s="74">
        <v>0</v>
      </c>
      <c r="K487" s="74">
        <v>2.9658200000000003</v>
      </c>
      <c r="L487" s="74">
        <v>0</v>
      </c>
      <c r="M487" s="74">
        <v>0</v>
      </c>
      <c r="N487" s="74">
        <v>0</v>
      </c>
    </row>
    <row r="488" spans="1:14" x14ac:dyDescent="0.25">
      <c r="A488" t="e">
        <f>VLOOKUP(VALUE(RIGHT(B488,4)),'Waste Lookups'!$B$1:$C$295,2,FALSE)</f>
        <v>#N/A</v>
      </c>
      <c r="B488" s="74" t="s">
        <v>1749</v>
      </c>
      <c r="C488" s="74" t="s">
        <v>1750</v>
      </c>
      <c r="D488" s="74">
        <v>0</v>
      </c>
      <c r="E488" s="74">
        <v>4.7203800000000005</v>
      </c>
      <c r="F488" s="74">
        <v>0</v>
      </c>
      <c r="G488" s="74">
        <v>0</v>
      </c>
      <c r="H488" s="74">
        <v>0</v>
      </c>
      <c r="I488" s="74"/>
      <c r="J488" s="74">
        <v>0</v>
      </c>
      <c r="K488" s="74">
        <v>3.26172</v>
      </c>
      <c r="L488" s="74">
        <v>0</v>
      </c>
      <c r="M488" s="74">
        <v>0</v>
      </c>
      <c r="N488" s="74">
        <v>0</v>
      </c>
    </row>
    <row r="489" spans="1:14" x14ac:dyDescent="0.25">
      <c r="A489" t="e">
        <f>VLOOKUP(VALUE(RIGHT(B489,4)),'Waste Lookups'!$B$1:$C$295,2,FALSE)</f>
        <v>#N/A</v>
      </c>
      <c r="B489" s="74" t="s">
        <v>1751</v>
      </c>
      <c r="C489" s="74" t="s">
        <v>1752</v>
      </c>
      <c r="D489" s="74">
        <v>3.7866060606060605</v>
      </c>
      <c r="E489" s="74">
        <v>0</v>
      </c>
      <c r="F489" s="74">
        <v>0</v>
      </c>
      <c r="G489" s="74">
        <v>0</v>
      </c>
      <c r="H489" s="74">
        <v>0</v>
      </c>
      <c r="I489" s="74"/>
      <c r="J489" s="74">
        <v>3.2497500000000006</v>
      </c>
      <c r="K489" s="74">
        <v>0</v>
      </c>
      <c r="L489" s="74">
        <v>0</v>
      </c>
      <c r="M489" s="74">
        <v>0</v>
      </c>
      <c r="N489" s="74">
        <v>0</v>
      </c>
    </row>
    <row r="490" spans="1:14" x14ac:dyDescent="0.25">
      <c r="A490" t="e">
        <f>VLOOKUP(VALUE(RIGHT(B490,4)),'Waste Lookups'!$B$1:$C$295,2,FALSE)</f>
        <v>#N/A</v>
      </c>
      <c r="B490" s="74" t="s">
        <v>1753</v>
      </c>
      <c r="C490" s="74" t="s">
        <v>1754</v>
      </c>
      <c r="D490" s="74">
        <v>0</v>
      </c>
      <c r="E490" s="74">
        <v>3.5665199999999997</v>
      </c>
      <c r="F490" s="74">
        <v>0</v>
      </c>
      <c r="G490" s="74">
        <v>1.1737799999999998</v>
      </c>
      <c r="H490" s="74">
        <v>0</v>
      </c>
      <c r="I490" s="74"/>
      <c r="J490" s="74">
        <v>0</v>
      </c>
      <c r="K490" s="74">
        <v>2.4866222836763971</v>
      </c>
      <c r="L490" s="74">
        <v>0</v>
      </c>
      <c r="M490" s="74">
        <v>0.81837407448540367</v>
      </c>
      <c r="N490" s="74">
        <v>0</v>
      </c>
    </row>
    <row r="491" spans="1:14" x14ac:dyDescent="0.25">
      <c r="A491" t="e">
        <f>VLOOKUP(VALUE(RIGHT(B491,4)),'Waste Lookups'!$B$1:$C$295,2,FALSE)</f>
        <v>#N/A</v>
      </c>
      <c r="B491" s="74" t="s">
        <v>1755</v>
      </c>
      <c r="C491" s="74" t="s">
        <v>1756</v>
      </c>
      <c r="D491" s="74">
        <v>4.8878787878787876E-2</v>
      </c>
      <c r="E491" s="74">
        <v>3.5576999999999996</v>
      </c>
      <c r="F491" s="74">
        <v>0</v>
      </c>
      <c r="G491" s="74">
        <v>1.1249099999999999</v>
      </c>
      <c r="H491" s="74">
        <v>0</v>
      </c>
      <c r="I491" s="74"/>
      <c r="J491" s="74">
        <v>4.0061136313067319E-2</v>
      </c>
      <c r="K491" s="74">
        <v>2.9158968715517593</v>
      </c>
      <c r="L491" s="74">
        <v>0</v>
      </c>
      <c r="M491" s="74">
        <v>0.9219781178225509</v>
      </c>
      <c r="N491" s="74">
        <v>0</v>
      </c>
    </row>
    <row r="492" spans="1:14" x14ac:dyDescent="0.25">
      <c r="A492" t="e">
        <f>VLOOKUP(VALUE(RIGHT(B492,4)),'Waste Lookups'!$B$1:$C$295,2,FALSE)</f>
        <v>#N/A</v>
      </c>
      <c r="B492" s="74" t="s">
        <v>1757</v>
      </c>
      <c r="C492" s="74" t="s">
        <v>1758</v>
      </c>
      <c r="D492" s="74">
        <v>8.4924545454545459</v>
      </c>
      <c r="E492" s="74">
        <v>4.9966200000000001</v>
      </c>
      <c r="F492" s="74">
        <v>0</v>
      </c>
      <c r="G492" s="74">
        <v>1.9839599999999997</v>
      </c>
      <c r="H492" s="74">
        <v>0</v>
      </c>
      <c r="I492" s="74"/>
      <c r="J492" s="74">
        <v>6.9348665372485572</v>
      </c>
      <c r="K492" s="74">
        <v>4.0801976215337215</v>
      </c>
      <c r="L492" s="74">
        <v>0</v>
      </c>
      <c r="M492" s="74">
        <v>1.6200849520712084</v>
      </c>
      <c r="N492" s="74">
        <v>0</v>
      </c>
    </row>
    <row r="493" spans="1:14" x14ac:dyDescent="0.25">
      <c r="A493" t="e">
        <f>VLOOKUP(VALUE(RIGHT(B493,4)),'Waste Lookups'!$B$1:$C$295,2,FALSE)</f>
        <v>#N/A</v>
      </c>
      <c r="B493" s="74" t="s">
        <v>1759</v>
      </c>
      <c r="C493" s="74" t="s">
        <v>1760</v>
      </c>
      <c r="D493" s="74">
        <v>0</v>
      </c>
      <c r="E493" s="74">
        <v>1.1160000000000001</v>
      </c>
      <c r="F493" s="74">
        <v>0</v>
      </c>
      <c r="G493" s="74">
        <v>0</v>
      </c>
      <c r="H493" s="74">
        <v>0</v>
      </c>
      <c r="I493" s="74"/>
      <c r="J493" s="74">
        <v>0</v>
      </c>
      <c r="K493" s="74">
        <v>0</v>
      </c>
      <c r="L493" s="74">
        <v>0</v>
      </c>
      <c r="M493" s="74">
        <v>0</v>
      </c>
      <c r="N493" s="74">
        <v>0</v>
      </c>
    </row>
    <row r="494" spans="1:14" x14ac:dyDescent="0.25">
      <c r="A494" t="e">
        <f>VLOOKUP(VALUE(RIGHT(B494,4)),'Waste Lookups'!$B$1:$C$295,2,FALSE)</f>
        <v>#N/A</v>
      </c>
      <c r="B494" s="74" t="s">
        <v>1761</v>
      </c>
      <c r="C494" s="74" t="s">
        <v>1762</v>
      </c>
      <c r="D494" s="74">
        <v>0</v>
      </c>
      <c r="E494" s="74">
        <v>6.3357000000000001</v>
      </c>
      <c r="F494" s="74">
        <v>0</v>
      </c>
      <c r="G494" s="74">
        <v>2.3446799999999999</v>
      </c>
      <c r="H494" s="74">
        <v>0</v>
      </c>
      <c r="I494" s="74"/>
      <c r="J494" s="74">
        <v>0</v>
      </c>
      <c r="K494" s="74">
        <v>5.170823849005294</v>
      </c>
      <c r="L494" s="74">
        <v>0</v>
      </c>
      <c r="M494" s="74">
        <v>1.9135892264920575</v>
      </c>
      <c r="N494" s="74">
        <v>0</v>
      </c>
    </row>
    <row r="495" spans="1:14" x14ac:dyDescent="0.25">
      <c r="A495" t="e">
        <f>VLOOKUP(VALUE(RIGHT(B495,4)),'Waste Lookups'!$B$1:$C$295,2,FALSE)</f>
        <v>#N/A</v>
      </c>
      <c r="B495" s="74" t="s">
        <v>1763</v>
      </c>
      <c r="C495" s="74" t="s">
        <v>1764</v>
      </c>
      <c r="D495" s="74">
        <v>0</v>
      </c>
      <c r="E495" s="74">
        <v>3.2183999999999995</v>
      </c>
      <c r="F495" s="74">
        <v>0</v>
      </c>
      <c r="G495" s="74">
        <v>0</v>
      </c>
      <c r="H495" s="74">
        <v>0</v>
      </c>
      <c r="I495" s="74"/>
      <c r="J495" s="74">
        <v>0</v>
      </c>
      <c r="K495" s="74">
        <v>11.732984999999999</v>
      </c>
      <c r="L495" s="74">
        <v>0</v>
      </c>
      <c r="M495" s="74">
        <v>0</v>
      </c>
      <c r="N495" s="74">
        <v>0</v>
      </c>
    </row>
    <row r="496" spans="1:14" x14ac:dyDescent="0.25">
      <c r="A496" t="e">
        <f>VLOOKUP(VALUE(RIGHT(B496,4)),'Waste Lookups'!$B$1:$C$295,2,FALSE)</f>
        <v>#N/A</v>
      </c>
      <c r="B496" s="74" t="s">
        <v>1765</v>
      </c>
      <c r="C496" s="74" t="s">
        <v>1766</v>
      </c>
      <c r="D496" s="74">
        <v>8.144909090909092</v>
      </c>
      <c r="E496" s="74">
        <v>9.5168400000000002</v>
      </c>
      <c r="F496" s="74">
        <v>0</v>
      </c>
      <c r="G496" s="74">
        <v>4.6624499999999998</v>
      </c>
      <c r="H496" s="74">
        <v>0</v>
      </c>
      <c r="I496" s="74"/>
      <c r="J496" s="74">
        <v>11.927628193249458</v>
      </c>
      <c r="K496" s="74">
        <v>13.936721432697347</v>
      </c>
      <c r="L496" s="74">
        <v>0</v>
      </c>
      <c r="M496" s="74">
        <v>6.8278196170030938</v>
      </c>
      <c r="N496" s="74">
        <v>0</v>
      </c>
    </row>
    <row r="497" spans="1:14" x14ac:dyDescent="0.25">
      <c r="A497" t="e">
        <f>VLOOKUP(VALUE(RIGHT(B497,4)),'Waste Lookups'!$B$1:$C$295,2,FALSE)</f>
        <v>#N/A</v>
      </c>
      <c r="B497" s="74" t="s">
        <v>1767</v>
      </c>
      <c r="C497" s="74" t="s">
        <v>1768</v>
      </c>
      <c r="D497" s="74">
        <v>0</v>
      </c>
      <c r="E497" s="74">
        <v>1.4476799999999999</v>
      </c>
      <c r="F497" s="74">
        <v>0</v>
      </c>
      <c r="G497" s="74">
        <v>0</v>
      </c>
      <c r="H497" s="74">
        <v>0</v>
      </c>
      <c r="I497" s="74"/>
      <c r="J497" s="74">
        <v>0</v>
      </c>
      <c r="K497" s="74">
        <v>0</v>
      </c>
      <c r="L497" s="74">
        <v>0</v>
      </c>
      <c r="M497" s="74">
        <v>0</v>
      </c>
      <c r="N497" s="74">
        <v>0</v>
      </c>
    </row>
    <row r="498" spans="1:14" x14ac:dyDescent="0.25">
      <c r="A498" t="e">
        <f>VLOOKUP(VALUE(RIGHT(B498,4)),'Waste Lookups'!$B$1:$C$295,2,FALSE)</f>
        <v>#N/A</v>
      </c>
      <c r="B498" s="74" t="s">
        <v>1769</v>
      </c>
      <c r="C498" s="74" t="s">
        <v>1770</v>
      </c>
      <c r="D498" s="74">
        <v>7.5261515151515157</v>
      </c>
      <c r="E498" s="74">
        <v>0</v>
      </c>
      <c r="F498" s="74">
        <v>0</v>
      </c>
      <c r="G498" s="74">
        <v>0</v>
      </c>
      <c r="H498" s="74">
        <v>0</v>
      </c>
      <c r="I498" s="74"/>
      <c r="J498" s="74">
        <v>27.960805555555556</v>
      </c>
      <c r="K498" s="74">
        <v>0</v>
      </c>
      <c r="L498" s="74">
        <v>0</v>
      </c>
      <c r="M498" s="74">
        <v>0</v>
      </c>
      <c r="N498" s="74">
        <v>0</v>
      </c>
    </row>
    <row r="499" spans="1:14" x14ac:dyDescent="0.25">
      <c r="A499" t="str">
        <f>VLOOKUP(VALUE(RIGHT(B499,4)),'Waste Lookups'!$B$1:$C$295,2,FALSE)</f>
        <v>Walshaw House</v>
      </c>
      <c r="B499" s="74" t="s">
        <v>767</v>
      </c>
      <c r="C499" s="74" t="s">
        <v>1771</v>
      </c>
      <c r="D499" s="74">
        <v>0</v>
      </c>
      <c r="E499" s="74">
        <v>9.1662599999999976</v>
      </c>
      <c r="F499" s="74">
        <v>0</v>
      </c>
      <c r="G499" s="74">
        <v>7.0340399999999992</v>
      </c>
      <c r="H499" s="74">
        <v>0</v>
      </c>
      <c r="I499" s="74"/>
      <c r="J499" s="74">
        <v>0</v>
      </c>
      <c r="K499" s="74">
        <v>11.470325088967511</v>
      </c>
      <c r="L499" s="74">
        <v>0</v>
      </c>
      <c r="M499" s="74">
        <v>8.8021423665487362</v>
      </c>
      <c r="N499" s="74">
        <v>0</v>
      </c>
    </row>
    <row r="500" spans="1:14" x14ac:dyDescent="0.25">
      <c r="A500" t="e">
        <f>VLOOKUP(VALUE(RIGHT(B500,4)),'Waste Lookups'!$B$1:$C$295,2,FALSE)</f>
        <v>#N/A</v>
      </c>
      <c r="B500" s="74" t="s">
        <v>1772</v>
      </c>
      <c r="C500" s="74" t="s">
        <v>1773</v>
      </c>
      <c r="D500" s="74">
        <v>3.7201212121212124</v>
      </c>
      <c r="E500" s="74">
        <v>11.342219999999999</v>
      </c>
      <c r="F500" s="74">
        <v>0</v>
      </c>
      <c r="G500" s="74">
        <v>2.3446799999999999</v>
      </c>
      <c r="H500" s="74">
        <v>0</v>
      </c>
      <c r="I500" s="74"/>
      <c r="J500" s="74">
        <v>2.6946148854350529</v>
      </c>
      <c r="K500" s="74">
        <v>8.2155696288326556</v>
      </c>
      <c r="L500" s="74">
        <v>0</v>
      </c>
      <c r="M500" s="74">
        <v>1.6983343470089063</v>
      </c>
      <c r="N500" s="74">
        <v>0</v>
      </c>
    </row>
    <row r="501" spans="1:14" x14ac:dyDescent="0.25">
      <c r="A501" t="e">
        <f>VLOOKUP(VALUE(RIGHT(B501,4)),'Waste Lookups'!$B$1:$C$295,2,FALSE)</f>
        <v>#N/A</v>
      </c>
      <c r="B501" s="74" t="s">
        <v>1774</v>
      </c>
      <c r="C501" s="74" t="s">
        <v>1775</v>
      </c>
      <c r="D501" s="74">
        <v>6.8440000000000012</v>
      </c>
      <c r="E501" s="74">
        <v>31.360859999999999</v>
      </c>
      <c r="F501" s="74">
        <v>0</v>
      </c>
      <c r="G501" s="74">
        <v>0</v>
      </c>
      <c r="H501" s="74">
        <v>0</v>
      </c>
      <c r="I501" s="74"/>
      <c r="J501" s="74">
        <v>7.377305588397574</v>
      </c>
      <c r="K501" s="74">
        <v>33.804594934972812</v>
      </c>
      <c r="L501" s="74">
        <v>0</v>
      </c>
      <c r="M501" s="74">
        <v>0</v>
      </c>
      <c r="N501" s="74">
        <v>0</v>
      </c>
    </row>
    <row r="502" spans="1:14" x14ac:dyDescent="0.25">
      <c r="A502" t="str">
        <f>VLOOKUP(VALUE(RIGHT(B502,4)),'Waste Lookups'!$B$1:$C$295,2,FALSE)</f>
        <v>Moor Lane Mills</v>
      </c>
      <c r="B502" s="74" t="s">
        <v>710</v>
      </c>
      <c r="C502" s="74" t="s">
        <v>1776</v>
      </c>
      <c r="D502" s="74">
        <v>0</v>
      </c>
      <c r="E502" s="74">
        <v>0</v>
      </c>
      <c r="F502" s="74">
        <v>0</v>
      </c>
      <c r="G502" s="74">
        <v>0</v>
      </c>
      <c r="H502" s="74">
        <v>3.9068586077696703</v>
      </c>
      <c r="I502" s="74"/>
      <c r="J502" s="74">
        <v>0</v>
      </c>
      <c r="K502" s="74">
        <v>0</v>
      </c>
      <c r="L502" s="74">
        <v>0</v>
      </c>
      <c r="M502" s="74">
        <v>0</v>
      </c>
      <c r="N502" s="74">
        <v>0</v>
      </c>
    </row>
    <row r="503" spans="1:14" x14ac:dyDescent="0.25">
      <c r="A503" t="e">
        <f>VLOOKUP(VALUE(RIGHT(B503,4)),'Waste Lookups'!$B$1:$C$295,2,FALSE)</f>
        <v>#N/A</v>
      </c>
      <c r="B503" s="74" t="s">
        <v>1777</v>
      </c>
      <c r="C503" s="74" t="s">
        <v>1778</v>
      </c>
      <c r="D503" s="74">
        <v>0</v>
      </c>
      <c r="E503" s="74">
        <v>0</v>
      </c>
      <c r="F503" s="74">
        <v>0</v>
      </c>
      <c r="G503" s="74">
        <v>0</v>
      </c>
      <c r="H503" s="74">
        <v>22.223839084993095</v>
      </c>
      <c r="I503" s="74"/>
      <c r="J503" s="74">
        <v>0</v>
      </c>
      <c r="K503" s="74">
        <v>0</v>
      </c>
      <c r="L503" s="74">
        <v>0</v>
      </c>
      <c r="M503" s="74">
        <v>0</v>
      </c>
      <c r="N503" s="74">
        <v>0</v>
      </c>
    </row>
    <row r="504" spans="1:14" x14ac:dyDescent="0.25">
      <c r="A504" t="e">
        <f>VLOOKUP(VALUE(RIGHT(B504,4)),'Waste Lookups'!$B$1:$C$295,2,FALSE)</f>
        <v>#N/A</v>
      </c>
      <c r="B504" s="74" t="s">
        <v>1779</v>
      </c>
      <c r="C504" s="74" t="s">
        <v>1780</v>
      </c>
      <c r="D504" s="74">
        <v>5.898424242424241</v>
      </c>
      <c r="E504" s="74">
        <v>7.2260399999999994</v>
      </c>
      <c r="F504" s="74">
        <v>0</v>
      </c>
      <c r="G504" s="74">
        <v>0</v>
      </c>
      <c r="H504" s="74">
        <v>2.462851508578189</v>
      </c>
      <c r="I504" s="74"/>
      <c r="J504" s="74">
        <v>9.6781236344329766</v>
      </c>
      <c r="K504" s="74">
        <v>11.85647312452641</v>
      </c>
      <c r="L504" s="74">
        <v>0</v>
      </c>
      <c r="M504" s="74">
        <v>0</v>
      </c>
      <c r="N504" s="74">
        <v>4.0410422196883253</v>
      </c>
    </row>
    <row r="505" spans="1:14" x14ac:dyDescent="0.25">
      <c r="A505" t="e">
        <f>VLOOKUP(VALUE(RIGHT(B505,4)),'Waste Lookups'!$B$1:$C$295,2,FALSE)</f>
        <v>#N/A</v>
      </c>
      <c r="B505" s="74" t="s">
        <v>1781</v>
      </c>
      <c r="C505" s="74" t="s">
        <v>1782</v>
      </c>
      <c r="D505" s="74">
        <v>3.9488484848484853</v>
      </c>
      <c r="E505" s="74">
        <v>0</v>
      </c>
      <c r="F505" s="74">
        <v>0</v>
      </c>
      <c r="G505" s="74">
        <v>0</v>
      </c>
      <c r="H505" s="74">
        <v>0</v>
      </c>
      <c r="I505" s="74"/>
      <c r="J505" s="74">
        <v>2.7740833333333335</v>
      </c>
      <c r="K505" s="74">
        <v>0</v>
      </c>
      <c r="L505" s="74">
        <v>0</v>
      </c>
      <c r="M505" s="74">
        <v>0</v>
      </c>
      <c r="N505" s="74">
        <v>0</v>
      </c>
    </row>
    <row r="506" spans="1:14" x14ac:dyDescent="0.25">
      <c r="A506" t="e">
        <f>VLOOKUP(VALUE(RIGHT(B506,4)),'Waste Lookups'!$B$1:$C$295,2,FALSE)</f>
        <v>#N/A</v>
      </c>
      <c r="B506" s="74" t="s">
        <v>1783</v>
      </c>
      <c r="C506" s="74" t="s">
        <v>1784</v>
      </c>
      <c r="D506" s="74">
        <v>5.1210909090909089</v>
      </c>
      <c r="E506" s="74">
        <v>7.8419999999999987</v>
      </c>
      <c r="F506" s="74">
        <v>0</v>
      </c>
      <c r="G506" s="74">
        <v>0</v>
      </c>
      <c r="H506" s="74">
        <v>4.7606294616446458</v>
      </c>
      <c r="I506" s="74"/>
      <c r="J506" s="74">
        <v>5.4114861858611736</v>
      </c>
      <c r="K506" s="74">
        <v>8.2866864546750794</v>
      </c>
      <c r="L506" s="74">
        <v>0</v>
      </c>
      <c r="M506" s="74">
        <v>0</v>
      </c>
      <c r="N506" s="74">
        <v>5.0305845033840617</v>
      </c>
    </row>
    <row r="507" spans="1:14" x14ac:dyDescent="0.25">
      <c r="A507" t="e">
        <f>VLOOKUP(VALUE(RIGHT(B507,4)),'Waste Lookups'!$B$1:$C$295,2,FALSE)</f>
        <v>#N/A</v>
      </c>
      <c r="B507" s="74" t="s">
        <v>1785</v>
      </c>
      <c r="C507" s="74" t="s">
        <v>1786</v>
      </c>
      <c r="D507" s="74">
        <v>5.5446060606060605</v>
      </c>
      <c r="E507" s="74">
        <v>3.0719999999999996</v>
      </c>
      <c r="F507" s="74">
        <v>0</v>
      </c>
      <c r="G507" s="74">
        <v>0</v>
      </c>
      <c r="H507" s="74">
        <v>2.9776407020311577</v>
      </c>
      <c r="I507" s="74"/>
      <c r="J507" s="74">
        <v>4.2914740292731377</v>
      </c>
      <c r="K507" s="74">
        <v>2.3776997091991863</v>
      </c>
      <c r="L507" s="74">
        <v>0</v>
      </c>
      <c r="M507" s="74">
        <v>0</v>
      </c>
      <c r="N507" s="74">
        <v>2.3046664815492011</v>
      </c>
    </row>
    <row r="508" spans="1:14" x14ac:dyDescent="0.25">
      <c r="A508" t="e">
        <f>VLOOKUP(VALUE(RIGHT(B508,4)),'Waste Lookups'!$B$1:$C$295,2,FALSE)</f>
        <v>#N/A</v>
      </c>
      <c r="B508" s="74" t="s">
        <v>1787</v>
      </c>
      <c r="C508" s="74" t="s">
        <v>1788</v>
      </c>
      <c r="D508" s="74">
        <v>8.3191515151515159</v>
      </c>
      <c r="E508" s="74">
        <v>4.2779999999999987</v>
      </c>
      <c r="F508" s="74">
        <v>0</v>
      </c>
      <c r="G508" s="74">
        <v>0</v>
      </c>
      <c r="H508" s="74">
        <v>4.8108097022283571</v>
      </c>
      <c r="I508" s="74"/>
      <c r="J508" s="74">
        <v>6.1703256608340427</v>
      </c>
      <c r="K508" s="74">
        <v>3.1729982473539882</v>
      </c>
      <c r="L508" s="74">
        <v>0</v>
      </c>
      <c r="M508" s="74">
        <v>0</v>
      </c>
      <c r="N508" s="74">
        <v>3.5681839068546375</v>
      </c>
    </row>
    <row r="509" spans="1:14" x14ac:dyDescent="0.25">
      <c r="A509" t="e">
        <f>VLOOKUP(VALUE(RIGHT(B509,4)),'Waste Lookups'!$B$1:$C$295,2,FALSE)</f>
        <v>#N/A</v>
      </c>
      <c r="B509" s="74" t="s">
        <v>1789</v>
      </c>
      <c r="C509" s="74" t="s">
        <v>1790</v>
      </c>
      <c r="D509" s="74">
        <v>6.4041212121212121</v>
      </c>
      <c r="E509" s="74">
        <v>4.2720000000000002</v>
      </c>
      <c r="F509" s="74">
        <v>0</v>
      </c>
      <c r="G509" s="74">
        <v>0</v>
      </c>
      <c r="H509" s="74">
        <v>4.3233192664168802</v>
      </c>
      <c r="I509" s="74"/>
      <c r="J509" s="74">
        <v>6.8473009430493095</v>
      </c>
      <c r="K509" s="74">
        <v>4.567632101238404</v>
      </c>
      <c r="L509" s="74">
        <v>0</v>
      </c>
      <c r="M509" s="74">
        <v>0</v>
      </c>
      <c r="N509" s="74">
        <v>4.6225027774316967</v>
      </c>
    </row>
    <row r="510" spans="1:14" x14ac:dyDescent="0.25">
      <c r="A510" t="e">
        <f>VLOOKUP(VALUE(RIGHT(B510,4)),'Waste Lookups'!$B$1:$C$295,2,FALSE)</f>
        <v>#N/A</v>
      </c>
      <c r="B510" s="74" t="s">
        <v>1791</v>
      </c>
      <c r="C510" s="74" t="s">
        <v>1792</v>
      </c>
      <c r="D510" s="74">
        <v>5.5864242424242416</v>
      </c>
      <c r="E510" s="74">
        <v>3.0719999999999996</v>
      </c>
      <c r="F510" s="74">
        <v>0</v>
      </c>
      <c r="G510" s="74">
        <v>0</v>
      </c>
      <c r="H510" s="74">
        <v>3.0599787024255569</v>
      </c>
      <c r="I510" s="74"/>
      <c r="J510" s="74">
        <v>4.7761644076291505</v>
      </c>
      <c r="K510" s="74">
        <v>2.6264344459936027</v>
      </c>
      <c r="L510" s="74">
        <v>0</v>
      </c>
      <c r="M510" s="74">
        <v>0</v>
      </c>
      <c r="N510" s="74">
        <v>2.6161567278832334</v>
      </c>
    </row>
    <row r="511" spans="1:14" x14ac:dyDescent="0.25">
      <c r="A511" t="e">
        <f>VLOOKUP(VALUE(RIGHT(B511,4)),'Waste Lookups'!$B$1:$C$295,2,FALSE)</f>
        <v>#N/A</v>
      </c>
      <c r="B511" s="74" t="s">
        <v>1793</v>
      </c>
      <c r="C511" s="74" t="s">
        <v>1487</v>
      </c>
      <c r="D511" s="74">
        <v>4.2663636363636357</v>
      </c>
      <c r="E511" s="74">
        <v>4.2779999999999987</v>
      </c>
      <c r="F511" s="74">
        <v>0</v>
      </c>
      <c r="G511" s="74">
        <v>0</v>
      </c>
      <c r="H511" s="74">
        <v>3.3511212778544666</v>
      </c>
      <c r="I511" s="74"/>
      <c r="J511" s="74">
        <v>4.6268882095751405</v>
      </c>
      <c r="K511" s="74">
        <v>4.6395078918855095</v>
      </c>
      <c r="L511" s="74">
        <v>0</v>
      </c>
      <c r="M511" s="74">
        <v>0</v>
      </c>
      <c r="N511" s="74">
        <v>3.6343042578941684</v>
      </c>
    </row>
    <row r="512" spans="1:14" x14ac:dyDescent="0.25">
      <c r="A512" t="e">
        <f>VLOOKUP(VALUE(RIGHT(B512,4)),'Waste Lookups'!$B$1:$C$295,2,FALSE)</f>
        <v>#N/A</v>
      </c>
      <c r="B512" s="74" t="s">
        <v>1794</v>
      </c>
      <c r="C512" s="74" t="s">
        <v>1795</v>
      </c>
      <c r="D512" s="74">
        <v>6.7191515151515162</v>
      </c>
      <c r="E512" s="74">
        <v>4.2779999999999987</v>
      </c>
      <c r="F512" s="74">
        <v>0</v>
      </c>
      <c r="G512" s="74">
        <v>0</v>
      </c>
      <c r="H512" s="74">
        <v>3.7064910274107667</v>
      </c>
      <c r="I512" s="74"/>
      <c r="J512" s="74">
        <v>5.1583635213763195</v>
      </c>
      <c r="K512" s="74">
        <v>3.2842657431799664</v>
      </c>
      <c r="L512" s="74">
        <v>0</v>
      </c>
      <c r="M512" s="74">
        <v>0</v>
      </c>
      <c r="N512" s="74">
        <v>2.845512274130225</v>
      </c>
    </row>
    <row r="513" spans="1:14" x14ac:dyDescent="0.25">
      <c r="A513" t="e">
        <f>VLOOKUP(VALUE(RIGHT(B513,4)),'Waste Lookups'!$B$1:$C$295,2,FALSE)</f>
        <v>#N/A</v>
      </c>
      <c r="B513" s="74" t="s">
        <v>1796</v>
      </c>
      <c r="C513" s="74" t="s">
        <v>1797</v>
      </c>
      <c r="D513" s="74">
        <v>1.8860606060606062</v>
      </c>
      <c r="E513" s="74">
        <v>2.3940000000000001</v>
      </c>
      <c r="F513" s="74">
        <v>0</v>
      </c>
      <c r="G513" s="74">
        <v>0</v>
      </c>
      <c r="H513" s="74">
        <v>2.4756616052060738</v>
      </c>
      <c r="I513" s="74"/>
      <c r="J513" s="74">
        <v>1.8209811718346662</v>
      </c>
      <c r="K513" s="74">
        <v>2.3113938711002939</v>
      </c>
      <c r="L513" s="74">
        <v>0</v>
      </c>
      <c r="M513" s="74">
        <v>0</v>
      </c>
      <c r="N513" s="74">
        <v>2.3902377030875668</v>
      </c>
    </row>
    <row r="514" spans="1:14" x14ac:dyDescent="0.25">
      <c r="A514" t="e">
        <f>VLOOKUP(VALUE(RIGHT(B514,4)),'Waste Lookups'!$B$1:$C$295,2,FALSE)</f>
        <v>#N/A</v>
      </c>
      <c r="B514" s="74" t="s">
        <v>1798</v>
      </c>
      <c r="C514" s="74" t="s">
        <v>1799</v>
      </c>
      <c r="D514" s="74">
        <v>25.188121212121214</v>
      </c>
      <c r="E514" s="74">
        <v>0</v>
      </c>
      <c r="F514" s="74">
        <v>0</v>
      </c>
      <c r="G514" s="74">
        <v>0</v>
      </c>
      <c r="H514" s="74">
        <v>4.6477239203312966</v>
      </c>
      <c r="I514" s="74"/>
      <c r="J514" s="74">
        <v>23.222626915010693</v>
      </c>
      <c r="K514" s="74">
        <v>0</v>
      </c>
      <c r="L514" s="74">
        <v>0</v>
      </c>
      <c r="M514" s="74">
        <v>0</v>
      </c>
      <c r="N514" s="74">
        <v>4.2850499922909915</v>
      </c>
    </row>
    <row r="515" spans="1:14" x14ac:dyDescent="0.25">
      <c r="A515" t="e">
        <f>VLOOKUP(VALUE(RIGHT(B515,4)),'Waste Lookups'!$B$1:$C$295,2,FALSE)</f>
        <v>#N/A</v>
      </c>
      <c r="B515" s="74" t="s">
        <v>1800</v>
      </c>
      <c r="C515" s="74" t="s">
        <v>1801</v>
      </c>
      <c r="D515" s="74">
        <v>2.334242424242424</v>
      </c>
      <c r="E515" s="74">
        <v>3.0719999999999996</v>
      </c>
      <c r="F515" s="74">
        <v>0</v>
      </c>
      <c r="G515" s="74">
        <v>0</v>
      </c>
      <c r="H515" s="74">
        <v>3.2709919148097018</v>
      </c>
      <c r="I515" s="74"/>
      <c r="J515" s="74">
        <v>2.1366545959396217</v>
      </c>
      <c r="K515" s="74">
        <v>2.8119628238085821</v>
      </c>
      <c r="L515" s="74">
        <v>0</v>
      </c>
      <c r="M515" s="74">
        <v>0</v>
      </c>
      <c r="N515" s="74">
        <v>2.994110566869574</v>
      </c>
    </row>
    <row r="516" spans="1:14" x14ac:dyDescent="0.25">
      <c r="A516" t="e">
        <f>VLOOKUP(VALUE(RIGHT(B516,4)),'Waste Lookups'!$B$1:$C$295,2,FALSE)</f>
        <v>#N/A</v>
      </c>
      <c r="B516" s="74" t="s">
        <v>1802</v>
      </c>
      <c r="C516" s="74" t="s">
        <v>1803</v>
      </c>
      <c r="D516" s="74">
        <v>0</v>
      </c>
      <c r="E516" s="74">
        <v>4.3775399999999998</v>
      </c>
      <c r="F516" s="74">
        <v>0</v>
      </c>
      <c r="G516" s="74">
        <v>0</v>
      </c>
      <c r="H516" s="74">
        <v>3.4953011240386513</v>
      </c>
      <c r="I516" s="74"/>
      <c r="J516" s="74">
        <v>0</v>
      </c>
      <c r="K516" s="74">
        <v>4.5713320218690612</v>
      </c>
      <c r="L516" s="74">
        <v>0</v>
      </c>
      <c r="M516" s="74">
        <v>0</v>
      </c>
      <c r="N516" s="74">
        <v>3.6500367682289161</v>
      </c>
    </row>
    <row r="517" spans="1:14" x14ac:dyDescent="0.25">
      <c r="A517" t="e">
        <f>VLOOKUP(VALUE(RIGHT(B517,4)),'Waste Lookups'!$B$1:$C$295,2,FALSE)</f>
        <v>#N/A</v>
      </c>
      <c r="B517" s="74" t="s">
        <v>1804</v>
      </c>
      <c r="C517" s="74" t="s">
        <v>1805</v>
      </c>
      <c r="D517" s="74">
        <v>7.0567575757575751</v>
      </c>
      <c r="E517" s="74">
        <v>9.6274800000000003</v>
      </c>
      <c r="F517" s="74">
        <v>0</v>
      </c>
      <c r="G517" s="74">
        <v>0</v>
      </c>
      <c r="H517" s="74">
        <v>2.6441806349832375</v>
      </c>
      <c r="I517" s="74"/>
      <c r="J517" s="74">
        <v>8.0990319388881638</v>
      </c>
      <c r="K517" s="74">
        <v>11.049446884624803</v>
      </c>
      <c r="L517" s="74">
        <v>0</v>
      </c>
      <c r="M517" s="74">
        <v>0</v>
      </c>
      <c r="N517" s="74">
        <v>3.034722843319412</v>
      </c>
    </row>
    <row r="518" spans="1:14" x14ac:dyDescent="0.25">
      <c r="A518" t="e">
        <f>VLOOKUP(VALUE(RIGHT(B518,4)),'Waste Lookups'!$B$1:$C$295,2,FALSE)</f>
        <v>#N/A</v>
      </c>
      <c r="B518" s="74" t="s">
        <v>1806</v>
      </c>
      <c r="C518" s="74" t="s">
        <v>1807</v>
      </c>
      <c r="D518" s="74">
        <v>5.5212727272727271</v>
      </c>
      <c r="E518" s="74">
        <v>5.0500800000000003</v>
      </c>
      <c r="F518" s="74">
        <v>0</v>
      </c>
      <c r="G518" s="74">
        <v>4.3286399999999992</v>
      </c>
      <c r="H518" s="74">
        <v>0</v>
      </c>
      <c r="I518" s="74"/>
      <c r="J518" s="74">
        <v>0</v>
      </c>
      <c r="K518" s="74">
        <v>0</v>
      </c>
      <c r="L518" s="74">
        <v>0</v>
      </c>
      <c r="M518" s="74">
        <v>0</v>
      </c>
      <c r="N518" s="74">
        <v>0</v>
      </c>
    </row>
    <row r="519" spans="1:14" x14ac:dyDescent="0.25">
      <c r="A519" t="e">
        <f>VLOOKUP(VALUE(RIGHT(B519,4)),'Waste Lookups'!$B$1:$C$295,2,FALSE)</f>
        <v>#N/A</v>
      </c>
      <c r="B519" s="74" t="s">
        <v>1808</v>
      </c>
      <c r="C519" s="74" t="s">
        <v>1809</v>
      </c>
      <c r="D519" s="74">
        <v>5.7185454545454544</v>
      </c>
      <c r="E519" s="74">
        <v>9.2593799999999984</v>
      </c>
      <c r="F519" s="74">
        <v>0</v>
      </c>
      <c r="G519" s="74">
        <v>3.8777400000000002</v>
      </c>
      <c r="H519" s="74">
        <v>0</v>
      </c>
      <c r="I519" s="74"/>
      <c r="J519" s="74">
        <v>4.0728165523242717E-2</v>
      </c>
      <c r="K519" s="74">
        <v>6.5946413171000792E-2</v>
      </c>
      <c r="L519" s="74">
        <v>0</v>
      </c>
      <c r="M519" s="74">
        <v>2.7617728639467938E-2</v>
      </c>
      <c r="N519" s="74">
        <v>0</v>
      </c>
    </row>
    <row r="520" spans="1:14" x14ac:dyDescent="0.25">
      <c r="A520" t="e">
        <f>VLOOKUP(VALUE(RIGHT(B520,4)),'Waste Lookups'!$B$1:$C$295,2,FALSE)</f>
        <v>#N/A</v>
      </c>
      <c r="B520" s="74" t="s">
        <v>1810</v>
      </c>
      <c r="C520" s="74" t="s">
        <v>1811</v>
      </c>
      <c r="D520" s="74">
        <v>6.9357575757575756</v>
      </c>
      <c r="E520" s="74">
        <v>4.6876799999999994</v>
      </c>
      <c r="F520" s="74">
        <v>0</v>
      </c>
      <c r="G520" s="74">
        <v>0</v>
      </c>
      <c r="H520" s="74">
        <v>0</v>
      </c>
      <c r="I520" s="74"/>
      <c r="J520" s="74">
        <v>5.3400421197855161</v>
      </c>
      <c r="K520" s="74">
        <v>3.6091816028246817</v>
      </c>
      <c r="L520" s="74">
        <v>0</v>
      </c>
      <c r="M520" s="74">
        <v>0</v>
      </c>
      <c r="N520" s="74">
        <v>0</v>
      </c>
    </row>
    <row r="521" spans="1:14" x14ac:dyDescent="0.25">
      <c r="A521" t="e">
        <f>VLOOKUP(VALUE(RIGHT(B521,4)),'Waste Lookups'!$B$1:$C$295,2,FALSE)</f>
        <v>#N/A</v>
      </c>
      <c r="B521" s="74" t="s">
        <v>1812</v>
      </c>
      <c r="C521" s="74" t="s">
        <v>1813</v>
      </c>
      <c r="D521" s="74">
        <v>7.4579696969696982</v>
      </c>
      <c r="E521" s="74">
        <v>4.6876799999999994</v>
      </c>
      <c r="F521" s="74">
        <v>0</v>
      </c>
      <c r="G521" s="74">
        <v>0</v>
      </c>
      <c r="H521" s="74">
        <v>0</v>
      </c>
      <c r="I521" s="74"/>
      <c r="J521" s="74">
        <v>4.5317422770922464</v>
      </c>
      <c r="K521" s="74">
        <v>2.8484102913573546</v>
      </c>
      <c r="L521" s="74">
        <v>0</v>
      </c>
      <c r="M521" s="74">
        <v>0</v>
      </c>
      <c r="N521" s="74">
        <v>0</v>
      </c>
    </row>
    <row r="522" spans="1:14" x14ac:dyDescent="0.25">
      <c r="A522" t="e">
        <f>VLOOKUP(VALUE(RIGHT(B522,4)),'Waste Lookups'!$B$1:$C$295,2,FALSE)</f>
        <v>#N/A</v>
      </c>
      <c r="B522" s="74" t="s">
        <v>1814</v>
      </c>
      <c r="C522" s="74" t="s">
        <v>1815</v>
      </c>
      <c r="D522" s="74">
        <v>9.8222727272727273</v>
      </c>
      <c r="E522" s="74">
        <v>7.1842799999999993</v>
      </c>
      <c r="F522" s="74">
        <v>0</v>
      </c>
      <c r="G522" s="74">
        <v>0</v>
      </c>
      <c r="H522" s="74">
        <v>0</v>
      </c>
      <c r="I522" s="74"/>
      <c r="J522" s="74">
        <v>19.562977718288792</v>
      </c>
      <c r="K522" s="74">
        <v>14.308899117788199</v>
      </c>
      <c r="L522" s="74">
        <v>0</v>
      </c>
      <c r="M522" s="74">
        <v>0</v>
      </c>
      <c r="N522" s="74">
        <v>0</v>
      </c>
    </row>
    <row r="523" spans="1:14" x14ac:dyDescent="0.25">
      <c r="A523" t="e">
        <f>VLOOKUP(VALUE(RIGHT(B523,4)),'Waste Lookups'!$B$1:$C$295,2,FALSE)</f>
        <v>#N/A</v>
      </c>
      <c r="B523" s="74" t="s">
        <v>1816</v>
      </c>
      <c r="C523" s="74" t="s">
        <v>1817</v>
      </c>
      <c r="D523" s="74">
        <v>8.4560606060606052</v>
      </c>
      <c r="E523" s="74">
        <v>7.2945599999999997</v>
      </c>
      <c r="F523" s="74">
        <v>0</v>
      </c>
      <c r="G523" s="74">
        <v>0</v>
      </c>
      <c r="H523" s="74">
        <v>0</v>
      </c>
      <c r="I523" s="74"/>
      <c r="J523" s="74">
        <v>6.8679891247974698</v>
      </c>
      <c r="K523" s="74">
        <v>5.9246215329010115</v>
      </c>
      <c r="L523" s="74">
        <v>0</v>
      </c>
      <c r="M523" s="74">
        <v>0</v>
      </c>
      <c r="N523" s="74">
        <v>0</v>
      </c>
    </row>
    <row r="524" spans="1:14" x14ac:dyDescent="0.25">
      <c r="A524" t="e">
        <f>VLOOKUP(VALUE(RIGHT(B524,4)),'Waste Lookups'!$B$1:$C$295,2,FALSE)</f>
        <v>#N/A</v>
      </c>
      <c r="B524" s="74" t="s">
        <v>1818</v>
      </c>
      <c r="C524" s="74" t="s">
        <v>1819</v>
      </c>
      <c r="D524" s="74">
        <v>8.4035454545454566</v>
      </c>
      <c r="E524" s="74">
        <v>38.934479999999994</v>
      </c>
      <c r="F524" s="74">
        <v>0</v>
      </c>
      <c r="G524" s="74">
        <v>0</v>
      </c>
      <c r="H524" s="74">
        <v>0</v>
      </c>
      <c r="I524" s="74"/>
      <c r="J524" s="74">
        <v>9.3222028948149767</v>
      </c>
      <c r="K524" s="74">
        <v>43.19071326826635</v>
      </c>
      <c r="L524" s="74">
        <v>0</v>
      </c>
      <c r="M524" s="74">
        <v>0</v>
      </c>
      <c r="N524" s="74">
        <v>0</v>
      </c>
    </row>
    <row r="525" spans="1:14" x14ac:dyDescent="0.25">
      <c r="A525" t="e">
        <f>VLOOKUP(VALUE(RIGHT(B525,4)),'Waste Lookups'!$B$1:$C$295,2,FALSE)</f>
        <v>#N/A</v>
      </c>
      <c r="B525" s="74" t="s">
        <v>1820</v>
      </c>
      <c r="C525" s="74" t="s">
        <v>1821</v>
      </c>
      <c r="D525" s="74">
        <v>8.3612727272727287</v>
      </c>
      <c r="E525" s="74">
        <v>10.227359999999999</v>
      </c>
      <c r="F525" s="74">
        <v>0</v>
      </c>
      <c r="G525" s="74">
        <v>0</v>
      </c>
      <c r="H525" s="74">
        <v>0</v>
      </c>
      <c r="I525" s="74"/>
      <c r="J525" s="74">
        <v>7.8107061694348738</v>
      </c>
      <c r="K525" s="74">
        <v>9.5539167845189503</v>
      </c>
      <c r="L525" s="74">
        <v>0</v>
      </c>
      <c r="M525" s="74">
        <v>0</v>
      </c>
      <c r="N525" s="74">
        <v>0</v>
      </c>
    </row>
    <row r="526" spans="1:14" x14ac:dyDescent="0.25">
      <c r="A526" t="e">
        <f>VLOOKUP(VALUE(RIGHT(B526,4)),'Waste Lookups'!$B$1:$C$295,2,FALSE)</f>
        <v>#N/A</v>
      </c>
      <c r="B526" s="74" t="s">
        <v>1822</v>
      </c>
      <c r="C526" s="74" t="s">
        <v>1823</v>
      </c>
      <c r="D526" s="74">
        <v>2.1882727272727274</v>
      </c>
      <c r="E526" s="74">
        <v>0</v>
      </c>
      <c r="F526" s="74">
        <v>0</v>
      </c>
      <c r="G526" s="74">
        <v>0</v>
      </c>
      <c r="H526" s="74">
        <v>0</v>
      </c>
      <c r="I526" s="74"/>
      <c r="J526" s="74">
        <v>1.8189166666666665</v>
      </c>
      <c r="K526" s="74">
        <v>0</v>
      </c>
      <c r="L526" s="74">
        <v>0</v>
      </c>
      <c r="M526" s="74">
        <v>0</v>
      </c>
      <c r="N526" s="74">
        <v>0</v>
      </c>
    </row>
    <row r="527" spans="1:14" x14ac:dyDescent="0.25">
      <c r="A527" t="e">
        <f>VLOOKUP(VALUE(RIGHT(B527,4)),'Waste Lookups'!$B$1:$C$295,2,FALSE)</f>
        <v>#N/A</v>
      </c>
      <c r="B527" s="74" t="s">
        <v>1824</v>
      </c>
      <c r="C527" s="74" t="s">
        <v>1825</v>
      </c>
      <c r="D527" s="74">
        <v>0</v>
      </c>
      <c r="E527" s="74">
        <v>1.1160000000000001</v>
      </c>
      <c r="F527" s="74">
        <v>0</v>
      </c>
      <c r="G527" s="74">
        <v>0</v>
      </c>
      <c r="H527" s="74">
        <v>0</v>
      </c>
      <c r="I527" s="74"/>
      <c r="J527" s="74">
        <v>0</v>
      </c>
      <c r="K527" s="74">
        <v>0</v>
      </c>
      <c r="L527" s="74">
        <v>0</v>
      </c>
      <c r="M527" s="74">
        <v>0</v>
      </c>
      <c r="N527" s="74">
        <v>0</v>
      </c>
    </row>
    <row r="528" spans="1:14" x14ac:dyDescent="0.25">
      <c r="A528" t="e">
        <f>VLOOKUP(VALUE(RIGHT(B528,4)),'Waste Lookups'!$B$1:$C$295,2,FALSE)</f>
        <v>#N/A</v>
      </c>
      <c r="B528" s="74" t="s">
        <v>1826</v>
      </c>
      <c r="C528" s="74" t="s">
        <v>1827</v>
      </c>
      <c r="D528" s="74">
        <v>7.0494545454545463</v>
      </c>
      <c r="E528" s="74">
        <v>6.78444</v>
      </c>
      <c r="F528" s="74">
        <v>0</v>
      </c>
      <c r="G528" s="74">
        <v>0</v>
      </c>
      <c r="H528" s="74">
        <v>2.6594202326957208</v>
      </c>
      <c r="I528" s="74"/>
      <c r="J528" s="74">
        <v>5.9229096427542007</v>
      </c>
      <c r="K528" s="74">
        <v>5.7002460030893465</v>
      </c>
      <c r="L528" s="74">
        <v>0</v>
      </c>
      <c r="M528" s="74">
        <v>0</v>
      </c>
      <c r="N528" s="74">
        <v>2.2344290099048298</v>
      </c>
    </row>
    <row r="529" spans="1:14" x14ac:dyDescent="0.25">
      <c r="A529" t="e">
        <f>VLOOKUP(VALUE(RIGHT(B529,4)),'Waste Lookups'!$B$1:$C$295,2,FALSE)</f>
        <v>#N/A</v>
      </c>
      <c r="B529" s="74" t="s">
        <v>1828</v>
      </c>
      <c r="C529" s="74" t="s">
        <v>1829</v>
      </c>
      <c r="D529" s="74">
        <v>3.0008484848484849</v>
      </c>
      <c r="E529" s="74">
        <v>2.8103399999999996</v>
      </c>
      <c r="F529" s="74">
        <v>0</v>
      </c>
      <c r="G529" s="74">
        <v>1.8093599999999999</v>
      </c>
      <c r="H529" s="74">
        <v>0</v>
      </c>
      <c r="I529" s="74"/>
      <c r="J529" s="74">
        <v>1.8599501345281875</v>
      </c>
      <c r="K529" s="74">
        <v>1.7418714365160179</v>
      </c>
      <c r="L529" s="74">
        <v>0</v>
      </c>
      <c r="M529" s="74">
        <v>1.1214559456772568</v>
      </c>
      <c r="N529" s="74">
        <v>0</v>
      </c>
    </row>
    <row r="530" spans="1:14" x14ac:dyDescent="0.25">
      <c r="A530" t="e">
        <f>VLOOKUP(VALUE(RIGHT(B530,4)),'Waste Lookups'!$B$1:$C$295,2,FALSE)</f>
        <v>#N/A</v>
      </c>
      <c r="B530" s="74" t="s">
        <v>1830</v>
      </c>
      <c r="C530" s="74" t="s">
        <v>1831</v>
      </c>
      <c r="D530" s="74">
        <v>0</v>
      </c>
      <c r="E530" s="74">
        <v>0</v>
      </c>
      <c r="F530" s="74">
        <v>0</v>
      </c>
      <c r="G530" s="74">
        <v>0</v>
      </c>
      <c r="H530" s="74">
        <v>17.706159731808324</v>
      </c>
      <c r="I530" s="74"/>
      <c r="J530" s="74">
        <v>0</v>
      </c>
      <c r="K530" s="74">
        <v>0</v>
      </c>
      <c r="L530" s="74">
        <v>0</v>
      </c>
      <c r="M530" s="74">
        <v>0</v>
      </c>
      <c r="N530" s="74">
        <v>19.559103398409253</v>
      </c>
    </row>
    <row r="531" spans="1:14" x14ac:dyDescent="0.25">
      <c r="A531" t="e">
        <f>VLOOKUP(VALUE(RIGHT(B531,4)),'Waste Lookups'!$B$1:$C$295,2,FALSE)</f>
        <v>#N/A</v>
      </c>
      <c r="B531" s="74" t="s">
        <v>1832</v>
      </c>
      <c r="C531" s="74" t="s">
        <v>1833</v>
      </c>
      <c r="D531" s="74">
        <v>0.83584848484848473</v>
      </c>
      <c r="E531" s="74">
        <v>0</v>
      </c>
      <c r="F531" s="74">
        <v>0</v>
      </c>
      <c r="G531" s="74">
        <v>0</v>
      </c>
      <c r="H531" s="74">
        <v>0</v>
      </c>
      <c r="I531" s="74"/>
      <c r="J531" s="74">
        <v>0.7867777777777778</v>
      </c>
      <c r="K531" s="74">
        <v>0</v>
      </c>
      <c r="L531" s="74">
        <v>0</v>
      </c>
      <c r="M531" s="74">
        <v>0</v>
      </c>
      <c r="N531" s="74">
        <v>0</v>
      </c>
    </row>
    <row r="532" spans="1:14" x14ac:dyDescent="0.25">
      <c r="A532" t="e">
        <f>VLOOKUP(VALUE(RIGHT(B532,4)),'Waste Lookups'!$B$1:$C$295,2,FALSE)</f>
        <v>#N/A</v>
      </c>
      <c r="B532" s="74" t="s">
        <v>1834</v>
      </c>
      <c r="C532" s="74" t="s">
        <v>1835</v>
      </c>
      <c r="D532" s="74">
        <v>1.006</v>
      </c>
      <c r="E532" s="74">
        <v>0</v>
      </c>
      <c r="F532" s="74">
        <v>0</v>
      </c>
      <c r="G532" s="74">
        <v>0</v>
      </c>
      <c r="H532" s="74">
        <v>0.20447564582922501</v>
      </c>
      <c r="I532" s="74"/>
      <c r="J532" s="74">
        <v>0.61375387950405802</v>
      </c>
      <c r="K532" s="74">
        <v>0</v>
      </c>
      <c r="L532" s="74">
        <v>0</v>
      </c>
      <c r="M532" s="74">
        <v>0</v>
      </c>
      <c r="N532" s="74">
        <v>0.12474922553855326</v>
      </c>
    </row>
    <row r="533" spans="1:14" x14ac:dyDescent="0.25">
      <c r="A533" t="e">
        <f>VLOOKUP(VALUE(RIGHT(B533,4)),'Waste Lookups'!$B$1:$C$295,2,FALSE)</f>
        <v>#N/A</v>
      </c>
      <c r="B533" s="74" t="s">
        <v>1836</v>
      </c>
      <c r="C533" s="74" t="s">
        <v>1837</v>
      </c>
      <c r="D533" s="74">
        <v>6.5258181818181829</v>
      </c>
      <c r="E533" s="74">
        <v>7.5813599999999983</v>
      </c>
      <c r="F533" s="74">
        <v>0</v>
      </c>
      <c r="G533" s="74">
        <v>0</v>
      </c>
      <c r="H533" s="74">
        <v>0.64289015973180819</v>
      </c>
      <c r="I533" s="74"/>
      <c r="J533" s="74">
        <v>6.3444508142883604</v>
      </c>
      <c r="K533" s="74">
        <v>7.3706567184824632</v>
      </c>
      <c r="L533" s="74">
        <v>0</v>
      </c>
      <c r="M533" s="74">
        <v>0</v>
      </c>
      <c r="N533" s="74">
        <v>0.62502277626619995</v>
      </c>
    </row>
    <row r="534" spans="1:14" x14ac:dyDescent="0.25">
      <c r="A534" t="e">
        <f>VLOOKUP(VALUE(RIGHT(B534,4)),'Waste Lookups'!$B$1:$C$295,2,FALSE)</f>
        <v>#N/A</v>
      </c>
      <c r="B534" s="74" t="s">
        <v>1838</v>
      </c>
      <c r="C534" s="74" t="s">
        <v>1839</v>
      </c>
      <c r="D534" s="74">
        <v>1.7451515151515153</v>
      </c>
      <c r="E534" s="74">
        <v>0</v>
      </c>
      <c r="F534" s="74">
        <v>0</v>
      </c>
      <c r="G534" s="74">
        <v>0</v>
      </c>
      <c r="H534" s="74">
        <v>0</v>
      </c>
      <c r="I534" s="74"/>
      <c r="J534" s="74">
        <v>1.8297222222222225</v>
      </c>
      <c r="K534" s="74">
        <v>0</v>
      </c>
      <c r="L534" s="74">
        <v>0</v>
      </c>
      <c r="M534" s="74">
        <v>0</v>
      </c>
      <c r="N534" s="74">
        <v>0</v>
      </c>
    </row>
    <row r="535" spans="1:14" x14ac:dyDescent="0.25">
      <c r="A535" t="e">
        <f>VLOOKUP(VALUE(RIGHT(B535,4)),'Waste Lookups'!$B$1:$C$295,2,FALSE)</f>
        <v>#N/A</v>
      </c>
      <c r="B535" s="74" t="s">
        <v>1840</v>
      </c>
      <c r="C535" s="74" t="s">
        <v>1841</v>
      </c>
      <c r="D535" s="74">
        <v>0</v>
      </c>
      <c r="E535" s="74">
        <v>4.9053599999999991</v>
      </c>
      <c r="F535" s="74">
        <v>0</v>
      </c>
      <c r="G535" s="74">
        <v>0</v>
      </c>
      <c r="H535" s="74">
        <v>3.2946243344507988</v>
      </c>
      <c r="I535" s="74"/>
      <c r="J535" s="74">
        <v>0</v>
      </c>
      <c r="K535" s="74">
        <v>2.8503084357909954</v>
      </c>
      <c r="L535" s="74">
        <v>0</v>
      </c>
      <c r="M535" s="74">
        <v>0</v>
      </c>
      <c r="N535" s="74">
        <v>1.9143743850089299</v>
      </c>
    </row>
    <row r="536" spans="1:14" x14ac:dyDescent="0.25">
      <c r="A536" t="e">
        <f>VLOOKUP(VALUE(RIGHT(B536,4)),'Waste Lookups'!$B$1:$C$295,2,FALSE)</f>
        <v>#N/A</v>
      </c>
      <c r="B536" s="74" t="s">
        <v>1842</v>
      </c>
      <c r="C536" s="74" t="s">
        <v>1843</v>
      </c>
      <c r="D536" s="74">
        <v>2.1165757575757578</v>
      </c>
      <c r="E536" s="74">
        <v>0</v>
      </c>
      <c r="F536" s="74">
        <v>0</v>
      </c>
      <c r="G536" s="74">
        <v>0</v>
      </c>
      <c r="H536" s="74">
        <v>0</v>
      </c>
      <c r="I536" s="74"/>
      <c r="J536" s="74">
        <v>2.2101666666666664</v>
      </c>
      <c r="K536" s="74">
        <v>0</v>
      </c>
      <c r="L536" s="74">
        <v>0</v>
      </c>
      <c r="M536" s="74">
        <v>0</v>
      </c>
      <c r="N536" s="74">
        <v>0</v>
      </c>
    </row>
    <row r="537" spans="1:14" x14ac:dyDescent="0.25">
      <c r="A537" t="e">
        <f>VLOOKUP(VALUE(RIGHT(B537,4)),'Waste Lookups'!$B$1:$C$295,2,FALSE)</f>
        <v>#N/A</v>
      </c>
      <c r="B537" s="74" t="s">
        <v>1844</v>
      </c>
      <c r="C537" s="74" t="s">
        <v>1845</v>
      </c>
      <c r="D537" s="74">
        <v>5.0497878787878792</v>
      </c>
      <c r="E537" s="74">
        <v>0</v>
      </c>
      <c r="F537" s="74">
        <v>0</v>
      </c>
      <c r="G537" s="74">
        <v>0</v>
      </c>
      <c r="H537" s="74">
        <v>5.6859159929008083</v>
      </c>
      <c r="I537" s="74"/>
      <c r="J537" s="74">
        <v>5.9077253480368981</v>
      </c>
      <c r="K537" s="74">
        <v>0</v>
      </c>
      <c r="L537" s="74">
        <v>0</v>
      </c>
      <c r="M537" s="74">
        <v>0</v>
      </c>
      <c r="N537" s="74">
        <v>6.6519289214444068</v>
      </c>
    </row>
    <row r="538" spans="1:14" x14ac:dyDescent="0.25">
      <c r="A538" t="e">
        <f>VLOOKUP(VALUE(RIGHT(B538,4)),'Waste Lookups'!$B$1:$C$295,2,FALSE)</f>
        <v>#N/A</v>
      </c>
      <c r="B538" s="74" t="s">
        <v>1846</v>
      </c>
      <c r="C538" s="74" t="s">
        <v>1847</v>
      </c>
      <c r="D538" s="74">
        <v>13.261545454545457</v>
      </c>
      <c r="E538" s="74">
        <v>14.883839999999998</v>
      </c>
      <c r="F538" s="74">
        <v>0</v>
      </c>
      <c r="G538" s="74">
        <v>0</v>
      </c>
      <c r="H538" s="74">
        <v>10.762733977519229</v>
      </c>
      <c r="I538" s="74"/>
      <c r="J538" s="74">
        <v>14.30264463495476</v>
      </c>
      <c r="K538" s="74">
        <v>16.052297603863359</v>
      </c>
      <c r="L538" s="74">
        <v>0</v>
      </c>
      <c r="M538" s="74">
        <v>0</v>
      </c>
      <c r="N538" s="74">
        <v>11.607663670017326</v>
      </c>
    </row>
    <row r="539" spans="1:14" x14ac:dyDescent="0.25">
      <c r="A539" t="e">
        <f>VLOOKUP(VALUE(RIGHT(B539,4)),'Waste Lookups'!$B$1:$C$295,2,FALSE)</f>
        <v>#N/A</v>
      </c>
      <c r="B539" s="74" t="s">
        <v>1848</v>
      </c>
      <c r="C539" s="74" t="s">
        <v>1849</v>
      </c>
      <c r="D539" s="74">
        <v>13.704454545454547</v>
      </c>
      <c r="E539" s="74">
        <v>3.6516000000000002</v>
      </c>
      <c r="F539" s="74">
        <v>0</v>
      </c>
      <c r="G539" s="74">
        <v>0</v>
      </c>
      <c r="H539" s="74">
        <v>11.217889962532045</v>
      </c>
      <c r="I539" s="74"/>
      <c r="J539" s="74">
        <v>18.971597346216257</v>
      </c>
      <c r="K539" s="74">
        <v>5.0550486806803097</v>
      </c>
      <c r="L539" s="74">
        <v>0</v>
      </c>
      <c r="M539" s="74">
        <v>0</v>
      </c>
      <c r="N539" s="74">
        <v>15.529351477465907</v>
      </c>
    </row>
    <row r="540" spans="1:14" x14ac:dyDescent="0.25">
      <c r="A540" t="e">
        <f>VLOOKUP(VALUE(RIGHT(B540,4)),'Waste Lookups'!$B$1:$C$295,2,FALSE)</f>
        <v>#N/A</v>
      </c>
      <c r="B540" s="74" t="s">
        <v>1850</v>
      </c>
      <c r="C540" s="74" t="s">
        <v>1851</v>
      </c>
      <c r="D540" s="74">
        <v>1.7002424242424246</v>
      </c>
      <c r="E540" s="74">
        <v>0</v>
      </c>
      <c r="F540" s="74">
        <v>0</v>
      </c>
      <c r="G540" s="74">
        <v>0</v>
      </c>
      <c r="H540" s="74">
        <v>0</v>
      </c>
      <c r="I540" s="74"/>
      <c r="J540" s="74">
        <v>1.8297222222222225</v>
      </c>
      <c r="K540" s="74">
        <v>0</v>
      </c>
      <c r="L540" s="74">
        <v>0</v>
      </c>
      <c r="M540" s="74">
        <v>0</v>
      </c>
      <c r="N540" s="74">
        <v>0</v>
      </c>
    </row>
    <row r="541" spans="1:14" x14ac:dyDescent="0.25">
      <c r="A541" t="e">
        <f>VLOOKUP(VALUE(RIGHT(B541,4)),'Waste Lookups'!$B$1:$C$295,2,FALSE)</f>
        <v>#N/A</v>
      </c>
      <c r="B541" s="74" t="s">
        <v>1852</v>
      </c>
      <c r="C541" s="74" t="s">
        <v>1853</v>
      </c>
      <c r="D541" s="74">
        <v>26.333060606060606</v>
      </c>
      <c r="E541" s="74">
        <v>0</v>
      </c>
      <c r="F541" s="74">
        <v>0</v>
      </c>
      <c r="G541" s="74">
        <v>0</v>
      </c>
      <c r="H541" s="74">
        <v>18.763478603825675</v>
      </c>
      <c r="I541" s="74"/>
      <c r="J541" s="74">
        <v>27.052964504529154</v>
      </c>
      <c r="K541" s="74">
        <v>0</v>
      </c>
      <c r="L541" s="74">
        <v>0</v>
      </c>
      <c r="M541" s="74">
        <v>0</v>
      </c>
      <c r="N541" s="74">
        <v>19.276442197302405</v>
      </c>
    </row>
    <row r="542" spans="1:14" x14ac:dyDescent="0.25">
      <c r="A542" t="e">
        <f>VLOOKUP(VALUE(RIGHT(B542,4)),'Waste Lookups'!$B$1:$C$295,2,FALSE)</f>
        <v>#N/A</v>
      </c>
      <c r="B542" s="74" t="s">
        <v>1854</v>
      </c>
      <c r="C542" s="74" t="s">
        <v>1855</v>
      </c>
      <c r="D542" s="74">
        <v>0</v>
      </c>
      <c r="E542" s="74">
        <v>0</v>
      </c>
      <c r="F542" s="74">
        <v>0</v>
      </c>
      <c r="G542" s="74">
        <v>0</v>
      </c>
      <c r="H542" s="74">
        <v>0</v>
      </c>
      <c r="I542" s="74"/>
      <c r="J542" s="74">
        <v>0</v>
      </c>
      <c r="K542" s="74">
        <v>0</v>
      </c>
      <c r="L542" s="74">
        <v>0</v>
      </c>
      <c r="M542" s="74">
        <v>0</v>
      </c>
      <c r="N542" s="74">
        <v>0</v>
      </c>
    </row>
    <row r="543" spans="1:14" x14ac:dyDescent="0.25">
      <c r="A543" t="e">
        <f>VLOOKUP(VALUE(RIGHT(B543,4)),'Waste Lookups'!$B$1:$C$295,2,FALSE)</f>
        <v>#N/A</v>
      </c>
      <c r="B543" s="74" t="s">
        <v>1856</v>
      </c>
      <c r="C543" s="74" t="s">
        <v>1857</v>
      </c>
      <c r="D543" s="74">
        <v>0</v>
      </c>
      <c r="E543" s="74">
        <v>0</v>
      </c>
      <c r="F543" s="74">
        <v>0</v>
      </c>
      <c r="G543" s="74">
        <v>0</v>
      </c>
      <c r="H543" s="74">
        <v>0</v>
      </c>
      <c r="I543" s="74"/>
      <c r="J543" s="74">
        <v>0</v>
      </c>
      <c r="K543" s="74">
        <v>0</v>
      </c>
      <c r="L543" s="74">
        <v>0</v>
      </c>
      <c r="M543" s="74">
        <v>0</v>
      </c>
      <c r="N543" s="74">
        <v>0</v>
      </c>
    </row>
    <row r="544" spans="1:14" x14ac:dyDescent="0.25">
      <c r="A544" t="str">
        <f>VLOOKUP(VALUE(RIGHT(B544,4)),'Waste Lookups'!$B$1:$C$295,2,FALSE)</f>
        <v>Curzon Road</v>
      </c>
      <c r="B544" s="74" t="s">
        <v>770</v>
      </c>
      <c r="C544" s="74" t="s">
        <v>1858</v>
      </c>
      <c r="D544" s="74">
        <v>0</v>
      </c>
      <c r="E544" s="74">
        <v>8.6104199999999995</v>
      </c>
      <c r="F544" s="74">
        <v>0</v>
      </c>
      <c r="G544" s="74">
        <v>0</v>
      </c>
      <c r="H544" s="74">
        <v>1.1661605206073753</v>
      </c>
      <c r="I544" s="74"/>
      <c r="J544" s="74">
        <v>0</v>
      </c>
      <c r="K544" s="74">
        <v>11.099150325737021</v>
      </c>
      <c r="L544" s="74">
        <v>0</v>
      </c>
      <c r="M544" s="74">
        <v>0</v>
      </c>
      <c r="N544" s="74">
        <v>1.5032241077857993</v>
      </c>
    </row>
    <row r="545" spans="1:14" x14ac:dyDescent="0.25">
      <c r="A545" t="e">
        <f>VLOOKUP(VALUE(RIGHT(B545,4)),'Waste Lookups'!$B$1:$C$295,2,FALSE)</f>
        <v>#N/A</v>
      </c>
      <c r="B545" s="74" t="s">
        <v>1859</v>
      </c>
      <c r="C545" s="74" t="s">
        <v>1860</v>
      </c>
      <c r="D545" s="74">
        <v>4.5883030303030301</v>
      </c>
      <c r="E545" s="74">
        <v>0</v>
      </c>
      <c r="F545" s="74">
        <v>0</v>
      </c>
      <c r="G545" s="74">
        <v>0</v>
      </c>
      <c r="H545" s="74">
        <v>0</v>
      </c>
      <c r="I545" s="74"/>
      <c r="J545" s="74">
        <v>5.1003611111111109</v>
      </c>
      <c r="K545" s="74">
        <v>0</v>
      </c>
      <c r="L545" s="74">
        <v>0</v>
      </c>
      <c r="M545" s="74">
        <v>0</v>
      </c>
      <c r="N545" s="74">
        <v>0</v>
      </c>
    </row>
    <row r="546" spans="1:14" x14ac:dyDescent="0.25">
      <c r="A546" t="e">
        <f>VLOOKUP(VALUE(RIGHT(B546,4)),'Waste Lookups'!$B$1:$C$295,2,FALSE)</f>
        <v>#N/A</v>
      </c>
      <c r="B546" s="74" t="s">
        <v>1861</v>
      </c>
      <c r="C546" s="74" t="s">
        <v>1862</v>
      </c>
      <c r="D546" s="74">
        <v>2.0052121212121214</v>
      </c>
      <c r="E546" s="74">
        <v>0</v>
      </c>
      <c r="F546" s="74">
        <v>0</v>
      </c>
      <c r="G546" s="74">
        <v>0</v>
      </c>
      <c r="H546" s="74">
        <v>0</v>
      </c>
      <c r="I546" s="74"/>
      <c r="J546" s="74">
        <v>1.6906944444444443</v>
      </c>
      <c r="K546" s="74">
        <v>0</v>
      </c>
      <c r="L546" s="74">
        <v>0</v>
      </c>
      <c r="M546" s="74">
        <v>0</v>
      </c>
      <c r="N546" s="74">
        <v>0</v>
      </c>
    </row>
    <row r="547" spans="1:14" x14ac:dyDescent="0.25">
      <c r="A547" t="e">
        <f>VLOOKUP(VALUE(RIGHT(B547,4)),'Waste Lookups'!$B$1:$C$295,2,FALSE)</f>
        <v>#N/A</v>
      </c>
      <c r="B547" s="74" t="s">
        <v>1863</v>
      </c>
      <c r="C547" s="74" t="s">
        <v>1864</v>
      </c>
      <c r="D547" s="74">
        <v>4.5480000000000009</v>
      </c>
      <c r="E547" s="74">
        <v>5.9455199999999992</v>
      </c>
      <c r="F547" s="74">
        <v>0</v>
      </c>
      <c r="G547" s="74">
        <v>0</v>
      </c>
      <c r="H547" s="74">
        <v>0.47706566752119894</v>
      </c>
      <c r="I547" s="74"/>
      <c r="J547" s="74">
        <v>6.0166629034987835</v>
      </c>
      <c r="K547" s="74">
        <v>7.8654770505738973</v>
      </c>
      <c r="L547" s="74">
        <v>0</v>
      </c>
      <c r="M547" s="74">
        <v>0</v>
      </c>
      <c r="N547" s="74">
        <v>0.63112209857248946</v>
      </c>
    </row>
    <row r="548" spans="1:14" x14ac:dyDescent="0.25">
      <c r="A548" t="str">
        <f>VLOOKUP(VALUE(RIGHT(B548,4)),'Waste Lookups'!$B$1:$C$295,2,FALSE)</f>
        <v>Merton House (3rd Floor &amp; Part 5th Floor)</v>
      </c>
      <c r="B548" s="74" t="s">
        <v>769</v>
      </c>
      <c r="C548" s="74" t="s">
        <v>1865</v>
      </c>
      <c r="D548" s="74">
        <v>0</v>
      </c>
      <c r="E548" s="74">
        <v>2.052</v>
      </c>
      <c r="F548" s="74">
        <v>0</v>
      </c>
      <c r="G548" s="74">
        <v>0</v>
      </c>
      <c r="H548" s="74">
        <v>0.37105107473871035</v>
      </c>
      <c r="I548" s="74"/>
      <c r="J548" s="74">
        <v>0</v>
      </c>
      <c r="K548" s="74">
        <v>3.7090140845070425</v>
      </c>
      <c r="L548" s="74">
        <v>0</v>
      </c>
      <c r="M548" s="74">
        <v>0</v>
      </c>
      <c r="N548" s="74">
        <v>0.6706791726497815</v>
      </c>
    </row>
    <row r="549" spans="1:14" x14ac:dyDescent="0.25">
      <c r="A549" t="e">
        <f>VLOOKUP(VALUE(RIGHT(B549,4)),'Waste Lookups'!$B$1:$C$295,2,FALSE)</f>
        <v>#N/A</v>
      </c>
      <c r="B549" s="74" t="s">
        <v>1866</v>
      </c>
      <c r="C549" s="74" t="s">
        <v>1867</v>
      </c>
      <c r="D549" s="74">
        <v>2.9297878787878786</v>
      </c>
      <c r="E549" s="74">
        <v>3.1928399999999999</v>
      </c>
      <c r="F549" s="74">
        <v>0</v>
      </c>
      <c r="G549" s="74">
        <v>0</v>
      </c>
      <c r="H549" s="74">
        <v>0</v>
      </c>
      <c r="I549" s="74"/>
      <c r="J549" s="74">
        <v>2.6251704922565344</v>
      </c>
      <c r="K549" s="74">
        <v>2.8608724253320617</v>
      </c>
      <c r="L549" s="74">
        <v>0</v>
      </c>
      <c r="M549" s="74">
        <v>0</v>
      </c>
      <c r="N549" s="74">
        <v>0</v>
      </c>
    </row>
    <row r="550" spans="1:14" x14ac:dyDescent="0.25">
      <c r="A550" t="e">
        <f>VLOOKUP(VALUE(RIGHT(B550,4)),'Waste Lookups'!$B$1:$C$295,2,FALSE)</f>
        <v>#N/A</v>
      </c>
      <c r="B550" s="74" t="s">
        <v>1868</v>
      </c>
      <c r="C550" s="74" t="s">
        <v>1869</v>
      </c>
      <c r="D550" s="74">
        <v>0</v>
      </c>
      <c r="E550" s="74">
        <v>1.4616</v>
      </c>
      <c r="F550" s="74">
        <v>0</v>
      </c>
      <c r="G550" s="74">
        <v>0</v>
      </c>
      <c r="H550" s="74">
        <v>0</v>
      </c>
      <c r="I550" s="74"/>
      <c r="J550" s="74">
        <v>0</v>
      </c>
      <c r="K550" s="74">
        <v>3.3494999999999999</v>
      </c>
      <c r="L550" s="74">
        <v>0</v>
      </c>
      <c r="M550" s="74">
        <v>0</v>
      </c>
      <c r="N550" s="74">
        <v>0</v>
      </c>
    </row>
    <row r="551" spans="1:14" x14ac:dyDescent="0.25">
      <c r="A551" t="e">
        <f>VLOOKUP(VALUE(RIGHT(B551,4)),'Waste Lookups'!$B$1:$C$295,2,FALSE)</f>
        <v>#N/A</v>
      </c>
      <c r="B551" s="74" t="s">
        <v>1870</v>
      </c>
      <c r="C551" s="74" t="s">
        <v>1871</v>
      </c>
      <c r="D551" s="74">
        <v>3.339</v>
      </c>
      <c r="E551" s="74">
        <v>3.8901600000000003</v>
      </c>
      <c r="F551" s="74">
        <v>0</v>
      </c>
      <c r="G551" s="74">
        <v>0</v>
      </c>
      <c r="H551" s="74">
        <v>0</v>
      </c>
      <c r="I551" s="74"/>
      <c r="J551" s="74">
        <v>1.8101869697125519</v>
      </c>
      <c r="K551" s="74">
        <v>2.1089897999691471</v>
      </c>
      <c r="L551" s="74">
        <v>0</v>
      </c>
      <c r="M551" s="74">
        <v>0</v>
      </c>
      <c r="N551" s="74">
        <v>0</v>
      </c>
    </row>
    <row r="552" spans="1:14" x14ac:dyDescent="0.25">
      <c r="A552" t="e">
        <f>VLOOKUP(VALUE(RIGHT(B552,4)),'Waste Lookups'!$B$1:$C$295,2,FALSE)</f>
        <v>#N/A</v>
      </c>
      <c r="B552" s="74" t="s">
        <v>1872</v>
      </c>
      <c r="C552" s="74" t="s">
        <v>1873</v>
      </c>
      <c r="D552" s="74">
        <v>5.8039393939393937</v>
      </c>
      <c r="E552" s="74">
        <v>2.5577999999999999</v>
      </c>
      <c r="F552" s="74">
        <v>0</v>
      </c>
      <c r="G552" s="74">
        <v>0</v>
      </c>
      <c r="H552" s="74">
        <v>0</v>
      </c>
      <c r="I552" s="74"/>
      <c r="J552" s="74">
        <v>3.126322094579205</v>
      </c>
      <c r="K552" s="74">
        <v>1.3777722527331737</v>
      </c>
      <c r="L552" s="74">
        <v>0</v>
      </c>
      <c r="M552" s="74">
        <v>0</v>
      </c>
      <c r="N552" s="74">
        <v>0</v>
      </c>
    </row>
    <row r="553" spans="1:14" x14ac:dyDescent="0.25">
      <c r="A553" t="e">
        <f>VLOOKUP(VALUE(RIGHT(B553,4)),'Waste Lookups'!$B$1:$C$295,2,FALSE)</f>
        <v>#N/A</v>
      </c>
      <c r="B553" s="74" t="s">
        <v>1874</v>
      </c>
      <c r="C553" s="74" t="s">
        <v>1875</v>
      </c>
      <c r="D553" s="74">
        <v>1.4311515151515151</v>
      </c>
      <c r="E553" s="74">
        <v>3.6308399999999996</v>
      </c>
      <c r="F553" s="74">
        <v>0</v>
      </c>
      <c r="G553" s="74">
        <v>0</v>
      </c>
      <c r="H553" s="74">
        <v>0.10601459278248865</v>
      </c>
      <c r="I553" s="74"/>
      <c r="J553" s="74">
        <v>0.69770401340491761</v>
      </c>
      <c r="K553" s="74">
        <v>1.7700792775689562</v>
      </c>
      <c r="L553" s="74">
        <v>0</v>
      </c>
      <c r="M553" s="74">
        <v>0</v>
      </c>
      <c r="N553" s="74">
        <v>5.1683421413280292E-2</v>
      </c>
    </row>
    <row r="554" spans="1:14" x14ac:dyDescent="0.25">
      <c r="A554" t="e">
        <f>VLOOKUP(VALUE(RIGHT(B554,4)),'Waste Lookups'!$B$1:$C$295,2,FALSE)</f>
        <v>#N/A</v>
      </c>
      <c r="B554" s="74" t="s">
        <v>1876</v>
      </c>
      <c r="C554" s="74" t="s">
        <v>1877</v>
      </c>
      <c r="D554" s="74">
        <v>1.3761818181818184</v>
      </c>
      <c r="E554" s="74">
        <v>0.92549999999999999</v>
      </c>
      <c r="F554" s="74">
        <v>0</v>
      </c>
      <c r="G554" s="74">
        <v>0</v>
      </c>
      <c r="H554" s="74">
        <v>0</v>
      </c>
      <c r="I554" s="74"/>
      <c r="J554" s="74">
        <v>4.6434289107316031</v>
      </c>
      <c r="K554" s="74">
        <v>3.1227657567514258</v>
      </c>
      <c r="L554" s="74">
        <v>0</v>
      </c>
      <c r="M554" s="74">
        <v>0</v>
      </c>
      <c r="N554" s="74">
        <v>0</v>
      </c>
    </row>
    <row r="555" spans="1:14" x14ac:dyDescent="0.25">
      <c r="A555" t="e">
        <f>VLOOKUP(VALUE(RIGHT(B555,4)),'Waste Lookups'!$B$1:$C$295,2,FALSE)</f>
        <v>#N/A</v>
      </c>
      <c r="B555" s="74" t="s">
        <v>1878</v>
      </c>
      <c r="C555" s="74" t="s">
        <v>1879</v>
      </c>
      <c r="D555" s="74">
        <v>0</v>
      </c>
      <c r="E555" s="74">
        <v>0</v>
      </c>
      <c r="F555" s="74">
        <v>0</v>
      </c>
      <c r="G555" s="74">
        <v>0</v>
      </c>
      <c r="H555" s="74">
        <v>0</v>
      </c>
      <c r="I555" s="74"/>
      <c r="J555" s="74">
        <v>0</v>
      </c>
      <c r="K555" s="74">
        <v>0</v>
      </c>
      <c r="L555" s="74">
        <v>0</v>
      </c>
      <c r="M555" s="74">
        <v>0</v>
      </c>
      <c r="N555" s="74">
        <v>0</v>
      </c>
    </row>
    <row r="556" spans="1:14" x14ac:dyDescent="0.25">
      <c r="A556" t="e">
        <f>VLOOKUP(VALUE(RIGHT(B556,4)),'Waste Lookups'!$B$1:$C$295,2,FALSE)</f>
        <v>#N/A</v>
      </c>
      <c r="B556" s="74" t="s">
        <v>1880</v>
      </c>
      <c r="C556" s="74" t="s">
        <v>1881</v>
      </c>
      <c r="D556" s="74">
        <v>0</v>
      </c>
      <c r="E556" s="74">
        <v>2.4119999999999999</v>
      </c>
      <c r="F556" s="74">
        <v>0</v>
      </c>
      <c r="G556" s="74">
        <v>0</v>
      </c>
      <c r="H556" s="74">
        <v>0</v>
      </c>
      <c r="I556" s="74"/>
      <c r="J556" s="74">
        <v>0</v>
      </c>
      <c r="K556" s="74">
        <v>5.0798000000000005</v>
      </c>
      <c r="L556" s="74">
        <v>0</v>
      </c>
      <c r="M556" s="74">
        <v>0</v>
      </c>
      <c r="N556" s="74">
        <v>0</v>
      </c>
    </row>
    <row r="557" spans="1:14" x14ac:dyDescent="0.25">
      <c r="A557" t="e">
        <f>VLOOKUP(VALUE(RIGHT(B557,4)),'Waste Lookups'!$B$1:$C$295,2,FALSE)</f>
        <v>#N/A</v>
      </c>
      <c r="B557" s="74" t="s">
        <v>1882</v>
      </c>
      <c r="C557" s="74" t="s">
        <v>1883</v>
      </c>
      <c r="D557" s="74">
        <v>3.2376666666666667</v>
      </c>
      <c r="E557" s="74">
        <v>13.680300000000001</v>
      </c>
      <c r="F557" s="74">
        <v>0</v>
      </c>
      <c r="G557" s="74">
        <v>0</v>
      </c>
      <c r="H557" s="74">
        <v>0</v>
      </c>
      <c r="I557" s="74"/>
      <c r="J557" s="74">
        <v>1.6545935599469341</v>
      </c>
      <c r="K557" s="74">
        <v>6.9912497513050704</v>
      </c>
      <c r="L557" s="74">
        <v>0</v>
      </c>
      <c r="M557" s="74">
        <v>0</v>
      </c>
      <c r="N557" s="74">
        <v>0</v>
      </c>
    </row>
    <row r="558" spans="1:14" x14ac:dyDescent="0.25">
      <c r="A558" t="e">
        <f>VLOOKUP(VALUE(RIGHT(B558,4)),'Waste Lookups'!$B$1:$C$295,2,FALSE)</f>
        <v>#N/A</v>
      </c>
      <c r="B558" s="74" t="s">
        <v>1884</v>
      </c>
      <c r="C558" s="74" t="s">
        <v>1885</v>
      </c>
      <c r="D558" s="74">
        <v>0.197030303030303</v>
      </c>
      <c r="E558" s="74">
        <v>0</v>
      </c>
      <c r="F558" s="74">
        <v>0</v>
      </c>
      <c r="G558" s="74">
        <v>0</v>
      </c>
      <c r="H558" s="74">
        <v>0</v>
      </c>
      <c r="I558" s="74"/>
      <c r="J558" s="74">
        <v>0</v>
      </c>
      <c r="K558" s="74">
        <v>0</v>
      </c>
      <c r="L558" s="74">
        <v>0</v>
      </c>
      <c r="M558" s="74">
        <v>0</v>
      </c>
      <c r="N558" s="74">
        <v>0</v>
      </c>
    </row>
    <row r="559" spans="1:14" x14ac:dyDescent="0.25">
      <c r="A559" t="e">
        <f>VLOOKUP(VALUE(RIGHT(B559,4)),'Waste Lookups'!$B$1:$C$295,2,FALSE)</f>
        <v>#N/A</v>
      </c>
      <c r="B559" s="74" t="s">
        <v>1886</v>
      </c>
      <c r="C559" s="74" t="s">
        <v>1887</v>
      </c>
      <c r="D559" s="74">
        <v>0</v>
      </c>
      <c r="E559" s="74">
        <v>7.0284000000000004</v>
      </c>
      <c r="F559" s="74">
        <v>0</v>
      </c>
      <c r="G559" s="74">
        <v>0</v>
      </c>
      <c r="H559" s="74">
        <v>0</v>
      </c>
      <c r="I559" s="74"/>
      <c r="J559" s="74">
        <v>0</v>
      </c>
      <c r="K559" s="74">
        <v>0</v>
      </c>
      <c r="L559" s="74">
        <v>0</v>
      </c>
      <c r="M559" s="74">
        <v>0</v>
      </c>
      <c r="N559" s="74">
        <v>0</v>
      </c>
    </row>
    <row r="560" spans="1:14" x14ac:dyDescent="0.25">
      <c r="A560" t="e">
        <f>VLOOKUP(VALUE(RIGHT(B560,4)),'Waste Lookups'!$B$1:$C$295,2,FALSE)</f>
        <v>#N/A</v>
      </c>
      <c r="B560" s="74" t="s">
        <v>1888</v>
      </c>
      <c r="C560" s="74" t="s">
        <v>1889</v>
      </c>
      <c r="D560" s="74">
        <v>0</v>
      </c>
      <c r="E560" s="74">
        <v>1.5273599999999998</v>
      </c>
      <c r="F560" s="74">
        <v>0</v>
      </c>
      <c r="G560" s="74">
        <v>0</v>
      </c>
      <c r="H560" s="74">
        <v>0</v>
      </c>
      <c r="I560" s="74"/>
      <c r="J560" s="74">
        <v>0</v>
      </c>
      <c r="K560" s="74">
        <v>0</v>
      </c>
      <c r="L560" s="74">
        <v>0</v>
      </c>
      <c r="M560" s="74">
        <v>0</v>
      </c>
      <c r="N560" s="74">
        <v>0</v>
      </c>
    </row>
    <row r="561" spans="1:14" x14ac:dyDescent="0.25">
      <c r="A561" t="e">
        <f>VLOOKUP(VALUE(RIGHT(B561,4)),'Waste Lookups'!$B$1:$C$295,2,FALSE)</f>
        <v>#N/A</v>
      </c>
      <c r="B561" s="74" t="s">
        <v>1890</v>
      </c>
      <c r="C561" s="74" t="s">
        <v>1891</v>
      </c>
      <c r="D561" s="74">
        <v>1.1145757575757578</v>
      </c>
      <c r="E561" s="74">
        <v>0</v>
      </c>
      <c r="F561" s="74">
        <v>0</v>
      </c>
      <c r="G561" s="74">
        <v>0</v>
      </c>
      <c r="H561" s="74">
        <v>0</v>
      </c>
      <c r="I561" s="74"/>
      <c r="J561" s="74">
        <v>0.25333333333333335</v>
      </c>
      <c r="K561" s="74">
        <v>0</v>
      </c>
      <c r="L561" s="74">
        <v>0</v>
      </c>
      <c r="M561" s="74">
        <v>0</v>
      </c>
      <c r="N561" s="74">
        <v>0</v>
      </c>
    </row>
    <row r="562" spans="1:14" x14ac:dyDescent="0.25">
      <c r="A562" t="e">
        <f>VLOOKUP(VALUE(RIGHT(B562,4)),'Waste Lookups'!$B$1:$C$295,2,FALSE)</f>
        <v>#N/A</v>
      </c>
      <c r="B562" s="74" t="s">
        <v>1892</v>
      </c>
      <c r="C562" s="74" t="s">
        <v>1893</v>
      </c>
      <c r="D562" s="74">
        <v>0</v>
      </c>
      <c r="E562" s="74">
        <v>2.1431399999999998</v>
      </c>
      <c r="F562" s="74">
        <v>0</v>
      </c>
      <c r="G562" s="74">
        <v>0</v>
      </c>
      <c r="H562" s="74">
        <v>0</v>
      </c>
      <c r="I562" s="74"/>
      <c r="J562" s="74">
        <v>0</v>
      </c>
      <c r="K562" s="74">
        <v>7.9638900000000001</v>
      </c>
      <c r="L562" s="74">
        <v>0</v>
      </c>
      <c r="M562" s="74">
        <v>0</v>
      </c>
      <c r="N562" s="74">
        <v>0</v>
      </c>
    </row>
    <row r="563" spans="1:14" x14ac:dyDescent="0.25">
      <c r="A563" t="e">
        <f>VLOOKUP(VALUE(RIGHT(B563,4)),'Waste Lookups'!$B$1:$C$295,2,FALSE)</f>
        <v>#N/A</v>
      </c>
      <c r="B563" s="74" t="s">
        <v>1894</v>
      </c>
      <c r="C563" s="74" t="s">
        <v>1895</v>
      </c>
      <c r="D563" s="74">
        <v>0</v>
      </c>
      <c r="E563" s="74">
        <v>0</v>
      </c>
      <c r="F563" s="74">
        <v>0</v>
      </c>
      <c r="G563" s="74">
        <v>0</v>
      </c>
      <c r="H563" s="74">
        <v>0</v>
      </c>
      <c r="I563" s="74"/>
      <c r="J563" s="74">
        <v>0</v>
      </c>
      <c r="K563" s="74">
        <v>0</v>
      </c>
      <c r="L563" s="74">
        <v>0</v>
      </c>
      <c r="M563" s="74">
        <v>0</v>
      </c>
      <c r="N563" s="74">
        <v>0</v>
      </c>
    </row>
    <row r="564" spans="1:14" x14ac:dyDescent="0.25">
      <c r="A564" t="e">
        <f>VLOOKUP(VALUE(RIGHT(B564,4)),'Waste Lookups'!$B$1:$C$295,2,FALSE)</f>
        <v>#N/A</v>
      </c>
      <c r="B564" s="74" t="s">
        <v>1896</v>
      </c>
      <c r="C564" s="74" t="s">
        <v>1897</v>
      </c>
      <c r="D564" s="74">
        <v>2.8646969696969693</v>
      </c>
      <c r="E564" s="74">
        <v>12.038459999999997</v>
      </c>
      <c r="F564" s="74">
        <v>0</v>
      </c>
      <c r="G564" s="74">
        <v>0</v>
      </c>
      <c r="H564" s="74">
        <v>0.9037744034707158</v>
      </c>
      <c r="I564" s="74"/>
      <c r="J564" s="74">
        <v>3.2730141871403213</v>
      </c>
      <c r="K564" s="74">
        <v>13.754351956985264</v>
      </c>
      <c r="L564" s="74">
        <v>0</v>
      </c>
      <c r="M564" s="74">
        <v>0</v>
      </c>
      <c r="N564" s="74">
        <v>1.0325931419010925</v>
      </c>
    </row>
    <row r="565" spans="1:14" x14ac:dyDescent="0.25">
      <c r="A565" t="str">
        <f>VLOOKUP(VALUE(RIGHT(B565,4)),'Waste Lookups'!$B$1:$C$295,2,FALSE)</f>
        <v>Arthouse Square</v>
      </c>
      <c r="B565" s="74" t="s">
        <v>768</v>
      </c>
      <c r="C565" s="74" t="s">
        <v>1898</v>
      </c>
      <c r="D565" s="74">
        <v>0</v>
      </c>
      <c r="E565" s="74">
        <v>42.443280000000001</v>
      </c>
      <c r="F565" s="74">
        <v>0</v>
      </c>
      <c r="G565" s="74">
        <v>0</v>
      </c>
      <c r="H565" s="74">
        <v>4.1496761979885619</v>
      </c>
      <c r="I565" s="74"/>
      <c r="J565" s="74">
        <v>0</v>
      </c>
      <c r="K565" s="74">
        <v>51.34492990004118</v>
      </c>
      <c r="L565" s="74">
        <v>0</v>
      </c>
      <c r="M565" s="74">
        <v>0</v>
      </c>
      <c r="N565" s="74">
        <v>5.0199898192032322</v>
      </c>
    </row>
    <row r="566" spans="1:14" x14ac:dyDescent="0.25">
      <c r="A566" t="e">
        <f>VLOOKUP(VALUE(RIGHT(B566,4)),'Waste Lookups'!$B$1:$C$295,2,FALSE)</f>
        <v>#N/A</v>
      </c>
      <c r="B566" s="74" t="s">
        <v>1899</v>
      </c>
      <c r="C566" s="74" t="s">
        <v>1900</v>
      </c>
      <c r="D566" s="74">
        <v>2.7970909090909091</v>
      </c>
      <c r="E566" s="74">
        <v>10.567319999999999</v>
      </c>
      <c r="F566" s="74">
        <v>0</v>
      </c>
      <c r="G566" s="74">
        <v>0</v>
      </c>
      <c r="H566" s="74">
        <v>0</v>
      </c>
      <c r="I566" s="74"/>
      <c r="J566" s="74">
        <v>3.8771394574296085</v>
      </c>
      <c r="K566" s="74">
        <v>14.647708874289373</v>
      </c>
      <c r="L566" s="74">
        <v>0</v>
      </c>
      <c r="M566" s="74">
        <v>0</v>
      </c>
      <c r="N566" s="74">
        <v>0</v>
      </c>
    </row>
    <row r="567" spans="1:14" x14ac:dyDescent="0.25">
      <c r="A567" t="str">
        <f>VLOOKUP(VALUE(RIGHT(B567,4)),'Waste Lookups'!$B$1:$C$295,2,FALSE)</f>
        <v>Bevan House</v>
      </c>
      <c r="B567" s="74" t="s">
        <v>716</v>
      </c>
      <c r="C567" s="74" t="s">
        <v>1901</v>
      </c>
      <c r="D567" s="74">
        <v>0</v>
      </c>
      <c r="E567" s="74">
        <v>66.440579999999997</v>
      </c>
      <c r="F567" s="74">
        <v>0</v>
      </c>
      <c r="G567" s="74">
        <v>0</v>
      </c>
      <c r="H567" s="74">
        <v>4.1234375862748953</v>
      </c>
      <c r="I567" s="74"/>
      <c r="J567" s="74">
        <v>0</v>
      </c>
      <c r="K567" s="74">
        <v>98.154514396751566</v>
      </c>
      <c r="L567" s="74">
        <v>0</v>
      </c>
      <c r="M567" s="74">
        <v>0</v>
      </c>
      <c r="N567" s="74">
        <v>6.0916688855835659</v>
      </c>
    </row>
    <row r="568" spans="1:14" x14ac:dyDescent="0.25">
      <c r="A568" t="e">
        <f>VLOOKUP(VALUE(RIGHT(B568,4)),'Waste Lookups'!$B$1:$C$295,2,FALSE)</f>
        <v>#N/A</v>
      </c>
      <c r="B568" s="74" t="s">
        <v>1902</v>
      </c>
      <c r="C568" s="74" t="s">
        <v>1903</v>
      </c>
      <c r="D568" s="74">
        <v>0</v>
      </c>
      <c r="E568" s="74">
        <v>0</v>
      </c>
      <c r="F568" s="74">
        <v>0</v>
      </c>
      <c r="G568" s="74">
        <v>0</v>
      </c>
      <c r="H568" s="74">
        <v>0</v>
      </c>
      <c r="I568" s="74"/>
      <c r="J568" s="74">
        <v>0</v>
      </c>
      <c r="K568" s="74">
        <v>0</v>
      </c>
      <c r="L568" s="74">
        <v>0</v>
      </c>
      <c r="M568" s="74">
        <v>0</v>
      </c>
      <c r="N568" s="74">
        <v>0</v>
      </c>
    </row>
    <row r="569" spans="1:14" x14ac:dyDescent="0.25">
      <c r="A569" t="e">
        <f>VLOOKUP(VALUE(RIGHT(B569,4)),'Waste Lookups'!$B$1:$C$295,2,FALSE)</f>
        <v>#N/A</v>
      </c>
      <c r="B569" s="74" t="s">
        <v>1904</v>
      </c>
      <c r="C569" s="74" t="s">
        <v>1905</v>
      </c>
      <c r="D569" s="74">
        <v>0</v>
      </c>
      <c r="E569" s="74">
        <v>0</v>
      </c>
      <c r="F569" s="74">
        <v>0</v>
      </c>
      <c r="G569" s="74">
        <v>0</v>
      </c>
      <c r="H569" s="74">
        <v>0</v>
      </c>
      <c r="I569" s="74"/>
      <c r="J569" s="74">
        <v>0</v>
      </c>
      <c r="K569" s="74">
        <v>0</v>
      </c>
      <c r="L569" s="74">
        <v>0</v>
      </c>
      <c r="M569" s="74">
        <v>0</v>
      </c>
      <c r="N569" s="74">
        <v>0</v>
      </c>
    </row>
    <row r="570" spans="1:14" x14ac:dyDescent="0.25">
      <c r="A570" t="e">
        <f>VLOOKUP(VALUE(RIGHT(B570,4)),'Waste Lookups'!$B$1:$C$295,2,FALSE)</f>
        <v>#N/A</v>
      </c>
      <c r="B570" s="74" t="s">
        <v>1906</v>
      </c>
      <c r="C570" s="74" t="s">
        <v>1907</v>
      </c>
      <c r="D570" s="74">
        <v>0.20463636363636364</v>
      </c>
      <c r="E570" s="74">
        <v>34.856639999999999</v>
      </c>
      <c r="F570" s="74">
        <v>0</v>
      </c>
      <c r="G570" s="74">
        <v>0</v>
      </c>
      <c r="H570" s="74">
        <v>0</v>
      </c>
      <c r="I570" s="74"/>
      <c r="J570" s="74">
        <v>0.25863108299571602</v>
      </c>
      <c r="K570" s="74">
        <v>44.053805455668481</v>
      </c>
      <c r="L570" s="74">
        <v>0</v>
      </c>
      <c r="M570" s="74">
        <v>0</v>
      </c>
      <c r="N570" s="74">
        <v>0</v>
      </c>
    </row>
    <row r="571" spans="1:14" x14ac:dyDescent="0.25">
      <c r="A571" t="e">
        <f>VLOOKUP(VALUE(RIGHT(B571,4)),'Waste Lookups'!$B$1:$C$295,2,FALSE)</f>
        <v>#N/A</v>
      </c>
      <c r="B571" s="74" t="s">
        <v>1908</v>
      </c>
      <c r="C571" s="74" t="s">
        <v>1909</v>
      </c>
      <c r="D571" s="74">
        <v>4.4539393939393941</v>
      </c>
      <c r="E571" s="74">
        <v>1.3574999999999999</v>
      </c>
      <c r="F571" s="74">
        <v>0</v>
      </c>
      <c r="G571" s="74">
        <v>0</v>
      </c>
      <c r="H571" s="74">
        <v>0</v>
      </c>
      <c r="I571" s="74"/>
      <c r="J571" s="74">
        <v>1.5419494151443389</v>
      </c>
      <c r="K571" s="74">
        <v>0.46996515801420941</v>
      </c>
      <c r="L571" s="74">
        <v>0</v>
      </c>
      <c r="M571" s="74">
        <v>0</v>
      </c>
      <c r="N571" s="74">
        <v>0</v>
      </c>
    </row>
    <row r="572" spans="1:14" x14ac:dyDescent="0.25">
      <c r="A572" t="e">
        <f>VLOOKUP(VALUE(RIGHT(B572,4)),'Waste Lookups'!$B$1:$C$295,2,FALSE)</f>
        <v>#N/A</v>
      </c>
      <c r="B572" s="74" t="s">
        <v>1910</v>
      </c>
      <c r="C572" s="74" t="s">
        <v>1911</v>
      </c>
      <c r="D572" s="74">
        <v>0</v>
      </c>
      <c r="E572" s="74">
        <v>3.9294599999999997</v>
      </c>
      <c r="F572" s="74">
        <v>0</v>
      </c>
      <c r="G572" s="74">
        <v>0</v>
      </c>
      <c r="H572" s="74">
        <v>2.4107718398737918</v>
      </c>
      <c r="I572" s="74"/>
      <c r="J572" s="74">
        <v>0</v>
      </c>
      <c r="K572" s="74">
        <v>2.0795671133200626</v>
      </c>
      <c r="L572" s="74">
        <v>0</v>
      </c>
      <c r="M572" s="74">
        <v>0</v>
      </c>
      <c r="N572" s="74">
        <v>1.2758398955377175</v>
      </c>
    </row>
    <row r="573" spans="1:14" x14ac:dyDescent="0.25">
      <c r="A573" t="e">
        <f>VLOOKUP(VALUE(RIGHT(B573,4)),'Waste Lookups'!$B$1:$C$295,2,FALSE)</f>
        <v>#N/A</v>
      </c>
      <c r="B573" s="74" t="s">
        <v>1912</v>
      </c>
      <c r="C573" s="74" t="s">
        <v>1913</v>
      </c>
      <c r="D573" s="74">
        <v>0</v>
      </c>
      <c r="E573" s="74">
        <v>22.044360000000001</v>
      </c>
      <c r="F573" s="74">
        <v>0</v>
      </c>
      <c r="G573" s="74">
        <v>0</v>
      </c>
      <c r="H573" s="74">
        <v>0</v>
      </c>
      <c r="I573" s="74"/>
      <c r="J573" s="74">
        <v>0</v>
      </c>
      <c r="K573" s="74">
        <v>0</v>
      </c>
      <c r="L573" s="74">
        <v>0</v>
      </c>
      <c r="M573" s="74">
        <v>0</v>
      </c>
      <c r="N573" s="74">
        <v>0</v>
      </c>
    </row>
    <row r="574" spans="1:14" x14ac:dyDescent="0.25">
      <c r="A574" t="e">
        <f>VLOOKUP(VALUE(RIGHT(B574,4)),'Waste Lookups'!$B$1:$C$295,2,FALSE)</f>
        <v>#N/A</v>
      </c>
      <c r="B574" s="74" t="s">
        <v>1914</v>
      </c>
      <c r="C574" s="74" t="s">
        <v>1915</v>
      </c>
      <c r="D574" s="74">
        <v>0</v>
      </c>
      <c r="E574" s="74">
        <v>0</v>
      </c>
      <c r="F574" s="74">
        <v>0</v>
      </c>
      <c r="G574" s="74">
        <v>0</v>
      </c>
      <c r="H574" s="74">
        <v>0</v>
      </c>
      <c r="I574" s="74"/>
      <c r="J574" s="74">
        <v>0</v>
      </c>
      <c r="K574" s="74">
        <v>0</v>
      </c>
      <c r="L574" s="74">
        <v>0</v>
      </c>
      <c r="M574" s="74">
        <v>0</v>
      </c>
      <c r="N574" s="74">
        <v>0</v>
      </c>
    </row>
    <row r="575" spans="1:14" x14ac:dyDescent="0.25">
      <c r="A575" t="e">
        <f>VLOOKUP(VALUE(RIGHT(B575,4)),'Waste Lookups'!$B$1:$C$295,2,FALSE)</f>
        <v>#N/A</v>
      </c>
      <c r="B575" s="74" t="s">
        <v>1916</v>
      </c>
      <c r="C575" s="74" t="s">
        <v>1917</v>
      </c>
      <c r="D575" s="74">
        <v>0</v>
      </c>
      <c r="E575" s="74">
        <v>0</v>
      </c>
      <c r="F575" s="74">
        <v>0</v>
      </c>
      <c r="G575" s="74">
        <v>0</v>
      </c>
      <c r="H575" s="74">
        <v>0</v>
      </c>
      <c r="I575" s="74"/>
      <c r="J575" s="74">
        <v>0</v>
      </c>
      <c r="K575" s="74">
        <v>0</v>
      </c>
      <c r="L575" s="74">
        <v>0</v>
      </c>
      <c r="M575" s="74">
        <v>0</v>
      </c>
      <c r="N575" s="74">
        <v>0</v>
      </c>
    </row>
    <row r="576" spans="1:14" x14ac:dyDescent="0.25">
      <c r="A576" t="e">
        <f>VLOOKUP(VALUE(RIGHT(B576,4)),'Waste Lookups'!$B$1:$C$295,2,FALSE)</f>
        <v>#N/A</v>
      </c>
      <c r="B576" s="74" t="s">
        <v>1918</v>
      </c>
      <c r="C576" s="74" t="s">
        <v>1919</v>
      </c>
      <c r="D576" s="74">
        <v>0</v>
      </c>
      <c r="E576" s="74">
        <v>10.992299999999998</v>
      </c>
      <c r="F576" s="74">
        <v>0</v>
      </c>
      <c r="G576" s="74">
        <v>0</v>
      </c>
      <c r="H576" s="74">
        <v>0.32144507986590409</v>
      </c>
      <c r="I576" s="74"/>
      <c r="J576" s="74">
        <v>0</v>
      </c>
      <c r="K576" s="74">
        <v>5.4564085514641798</v>
      </c>
      <c r="L576" s="74">
        <v>0</v>
      </c>
      <c r="M576" s="74">
        <v>0</v>
      </c>
      <c r="N576" s="74">
        <v>0.15956039069224875</v>
      </c>
    </row>
    <row r="577" spans="1:14" x14ac:dyDescent="0.25">
      <c r="A577" t="e">
        <f>VLOOKUP(VALUE(RIGHT(B577,4)),'Waste Lookups'!$B$1:$C$295,2,FALSE)</f>
        <v>#N/A</v>
      </c>
      <c r="B577" s="74" t="s">
        <v>1920</v>
      </c>
      <c r="C577" s="74" t="s">
        <v>1921</v>
      </c>
      <c r="D577" s="74">
        <v>0</v>
      </c>
      <c r="E577" s="74">
        <v>2.2558799999999994</v>
      </c>
      <c r="F577" s="74">
        <v>0</v>
      </c>
      <c r="G577" s="74">
        <v>0</v>
      </c>
      <c r="H577" s="74">
        <v>1.6553295208045751</v>
      </c>
      <c r="I577" s="74"/>
      <c r="J577" s="74">
        <v>0</v>
      </c>
      <c r="K577" s="74">
        <v>2.5610357090526428</v>
      </c>
      <c r="L577" s="74">
        <v>0</v>
      </c>
      <c r="M577" s="74">
        <v>0</v>
      </c>
      <c r="N577" s="74">
        <v>1.8792480154217055</v>
      </c>
    </row>
    <row r="578" spans="1:14" x14ac:dyDescent="0.25">
      <c r="A578" t="e">
        <f>VLOOKUP(VALUE(RIGHT(B578,4)),'Waste Lookups'!$B$1:$C$295,2,FALSE)</f>
        <v>#N/A</v>
      </c>
      <c r="B578" s="74" t="s">
        <v>1922</v>
      </c>
      <c r="C578" s="74" t="s">
        <v>1923</v>
      </c>
      <c r="D578" s="74">
        <v>0</v>
      </c>
      <c r="E578" s="74">
        <v>0</v>
      </c>
      <c r="F578" s="74">
        <v>0</v>
      </c>
      <c r="G578" s="74">
        <v>0</v>
      </c>
      <c r="H578" s="74">
        <v>0</v>
      </c>
      <c r="I578" s="74"/>
      <c r="J578" s="74">
        <v>0</v>
      </c>
      <c r="K578" s="74">
        <v>0</v>
      </c>
      <c r="L578" s="74">
        <v>0</v>
      </c>
      <c r="M578" s="74">
        <v>0</v>
      </c>
      <c r="N578" s="74">
        <v>0</v>
      </c>
    </row>
    <row r="579" spans="1:14" x14ac:dyDescent="0.25">
      <c r="A579" t="e">
        <f>VLOOKUP(VALUE(RIGHT(B579,4)),'Waste Lookups'!$B$1:$C$295,2,FALSE)</f>
        <v>#N/A</v>
      </c>
      <c r="B579" s="74" t="s">
        <v>1924</v>
      </c>
      <c r="C579" s="74" t="s">
        <v>1925</v>
      </c>
      <c r="D579" s="74">
        <v>0.79790909090909101</v>
      </c>
      <c r="E579" s="74">
        <v>0</v>
      </c>
      <c r="F579" s="74">
        <v>0</v>
      </c>
      <c r="G579" s="74">
        <v>0</v>
      </c>
      <c r="H579" s="74">
        <v>0</v>
      </c>
      <c r="I579" s="74"/>
      <c r="J579" s="74">
        <v>7.1499999999999994E-2</v>
      </c>
      <c r="K579" s="74">
        <v>0</v>
      </c>
      <c r="L579" s="74">
        <v>0</v>
      </c>
      <c r="M579" s="74">
        <v>0</v>
      </c>
      <c r="N579" s="74">
        <v>0</v>
      </c>
    </row>
    <row r="580" spans="1:14" x14ac:dyDescent="0.25">
      <c r="A580" t="e">
        <f>VLOOKUP(VALUE(RIGHT(B580,4)),'Waste Lookups'!$B$1:$C$295,2,FALSE)</f>
        <v>#N/A</v>
      </c>
      <c r="B580" s="74" t="s">
        <v>1926</v>
      </c>
      <c r="C580" s="74" t="s">
        <v>1927</v>
      </c>
      <c r="D580" s="74">
        <v>1.6801212121212123</v>
      </c>
      <c r="E580" s="74">
        <v>7.7489999999999997</v>
      </c>
      <c r="F580" s="74">
        <v>0</v>
      </c>
      <c r="G580" s="74">
        <v>0</v>
      </c>
      <c r="H580" s="74">
        <v>0</v>
      </c>
      <c r="I580" s="74"/>
      <c r="J580" s="74">
        <v>2.3552201353601241</v>
      </c>
      <c r="K580" s="74">
        <v>10.862669131986955</v>
      </c>
      <c r="L580" s="74">
        <v>0</v>
      </c>
      <c r="M580" s="74">
        <v>0</v>
      </c>
      <c r="N580" s="74">
        <v>0</v>
      </c>
    </row>
    <row r="581" spans="1:14" x14ac:dyDescent="0.25">
      <c r="A581" t="e">
        <f>VLOOKUP(VALUE(RIGHT(B581,4)),'Waste Lookups'!$B$1:$C$295,2,FALSE)</f>
        <v>#N/A</v>
      </c>
      <c r="B581" s="74" t="s">
        <v>1928</v>
      </c>
      <c r="C581" s="74" t="s">
        <v>1929</v>
      </c>
      <c r="D581" s="74">
        <v>0</v>
      </c>
      <c r="E581" s="74">
        <v>2.61972</v>
      </c>
      <c r="F581" s="74">
        <v>0</v>
      </c>
      <c r="G581" s="74">
        <v>0</v>
      </c>
      <c r="H581" s="74">
        <v>1.9928093078288305</v>
      </c>
      <c r="I581" s="74"/>
      <c r="J581" s="74">
        <v>0</v>
      </c>
      <c r="K581" s="74">
        <v>2.2964281106380104</v>
      </c>
      <c r="L581" s="74">
        <v>0</v>
      </c>
      <c r="M581" s="74">
        <v>0</v>
      </c>
      <c r="N581" s="74">
        <v>1.7468826109810218</v>
      </c>
    </row>
    <row r="582" spans="1:14" x14ac:dyDescent="0.25">
      <c r="A582" t="e">
        <f>VLOOKUP(VALUE(RIGHT(B582,4)),'Waste Lookups'!$B$1:$C$295,2,FALSE)</f>
        <v>#N/A</v>
      </c>
      <c r="B582" s="74" t="s">
        <v>1930</v>
      </c>
      <c r="C582" s="74" t="s">
        <v>1931</v>
      </c>
      <c r="D582" s="74">
        <v>0</v>
      </c>
      <c r="E582" s="74">
        <v>0</v>
      </c>
      <c r="F582" s="74">
        <v>0</v>
      </c>
      <c r="G582" s="74">
        <v>0</v>
      </c>
      <c r="H582" s="74">
        <v>0</v>
      </c>
      <c r="I582" s="74"/>
      <c r="J582" s="74">
        <v>0</v>
      </c>
      <c r="K582" s="74">
        <v>0</v>
      </c>
      <c r="L582" s="74">
        <v>0</v>
      </c>
      <c r="M582" s="74">
        <v>0</v>
      </c>
      <c r="N582" s="74">
        <v>0</v>
      </c>
    </row>
    <row r="583" spans="1:14" x14ac:dyDescent="0.25">
      <c r="A583" t="e">
        <f>VLOOKUP(VALUE(RIGHT(B583,4)),'Waste Lookups'!$B$1:$C$295,2,FALSE)</f>
        <v>#N/A</v>
      </c>
      <c r="B583" s="74" t="s">
        <v>1932</v>
      </c>
      <c r="C583" s="74" t="s">
        <v>1933</v>
      </c>
      <c r="D583" s="74">
        <v>0.94539393939393945</v>
      </c>
      <c r="E583" s="74">
        <v>15.59676</v>
      </c>
      <c r="F583" s="74">
        <v>0</v>
      </c>
      <c r="G583" s="74">
        <v>0</v>
      </c>
      <c r="H583" s="74">
        <v>1.6400899230920924</v>
      </c>
      <c r="I583" s="74"/>
      <c r="J583" s="74">
        <v>0.4426231172090167</v>
      </c>
      <c r="K583" s="74">
        <v>7.3022326904131623</v>
      </c>
      <c r="L583" s="74">
        <v>0</v>
      </c>
      <c r="M583" s="74">
        <v>0</v>
      </c>
      <c r="N583" s="74">
        <v>0.76787218958426529</v>
      </c>
    </row>
    <row r="584" spans="1:14" x14ac:dyDescent="0.25">
      <c r="A584" t="str">
        <f>VLOOKUP(VALUE(RIGHT(B584,4)),'Waste Lookups'!$B$1:$C$295,2,FALSE)</f>
        <v>Regatta Place</v>
      </c>
      <c r="B584" s="74" t="s">
        <v>717</v>
      </c>
      <c r="C584" s="74" t="s">
        <v>1934</v>
      </c>
      <c r="D584" s="74">
        <v>0</v>
      </c>
      <c r="E584" s="74">
        <v>41.253059999999998</v>
      </c>
      <c r="F584" s="74">
        <v>0</v>
      </c>
      <c r="G584" s="74">
        <v>0</v>
      </c>
      <c r="H584" s="74">
        <v>1.7849323604811673</v>
      </c>
      <c r="I584" s="74"/>
      <c r="J584" s="74">
        <v>0</v>
      </c>
      <c r="K584" s="74">
        <v>48.84469753117277</v>
      </c>
      <c r="L584" s="74">
        <v>0</v>
      </c>
      <c r="M584" s="74">
        <v>0</v>
      </c>
      <c r="N584" s="74">
        <v>2.1134064057625026</v>
      </c>
    </row>
    <row r="585" spans="1:14" x14ac:dyDescent="0.25">
      <c r="A585" t="e">
        <f>VLOOKUP(VALUE(RIGHT(B585,4)),'Waste Lookups'!$B$1:$C$295,2,FALSE)</f>
        <v>#N/A</v>
      </c>
      <c r="B585" s="74" t="s">
        <v>1935</v>
      </c>
      <c r="C585" s="74" t="s">
        <v>1936</v>
      </c>
      <c r="D585" s="74">
        <v>2.4000000000000004</v>
      </c>
      <c r="E585" s="74">
        <v>0.53573999999999999</v>
      </c>
      <c r="F585" s="74">
        <v>0</v>
      </c>
      <c r="G585" s="74">
        <v>0</v>
      </c>
      <c r="H585" s="74">
        <v>1.6392948136462238</v>
      </c>
      <c r="I585" s="74"/>
      <c r="J585" s="74">
        <v>6.0054870648355152</v>
      </c>
      <c r="K585" s="74">
        <v>1.3405748500479073</v>
      </c>
      <c r="L585" s="74">
        <v>0</v>
      </c>
      <c r="M585" s="74">
        <v>0</v>
      </c>
      <c r="N585" s="74">
        <v>4.1019849161684752</v>
      </c>
    </row>
    <row r="586" spans="1:14" x14ac:dyDescent="0.25">
      <c r="A586" t="e">
        <f>VLOOKUP(VALUE(RIGHT(B586,4)),'Waste Lookups'!$B$1:$C$295,2,FALSE)</f>
        <v>#N/A</v>
      </c>
      <c r="B586" s="74" t="s">
        <v>1937</v>
      </c>
      <c r="C586" s="74" t="s">
        <v>1938</v>
      </c>
      <c r="D586" s="74">
        <v>0</v>
      </c>
      <c r="E586" s="74">
        <v>3.43404</v>
      </c>
      <c r="F586" s="74">
        <v>0</v>
      </c>
      <c r="G586" s="74">
        <v>0</v>
      </c>
      <c r="H586" s="74">
        <v>0</v>
      </c>
      <c r="I586" s="74"/>
      <c r="J586" s="74">
        <v>0</v>
      </c>
      <c r="K586" s="74">
        <v>4.9308600000000009</v>
      </c>
      <c r="L586" s="74">
        <v>0</v>
      </c>
      <c r="M586" s="74">
        <v>0</v>
      </c>
      <c r="N586" s="74">
        <v>0</v>
      </c>
    </row>
    <row r="587" spans="1:14" x14ac:dyDescent="0.25">
      <c r="A587" t="e">
        <f>VLOOKUP(VALUE(RIGHT(B587,4)),'Waste Lookups'!$B$1:$C$295,2,FALSE)</f>
        <v>#N/A</v>
      </c>
      <c r="B587" s="74" t="s">
        <v>1939</v>
      </c>
      <c r="C587" s="74" t="s">
        <v>1940</v>
      </c>
      <c r="D587" s="74">
        <v>3.6828484848484848</v>
      </c>
      <c r="E587" s="74">
        <v>11.377079999999999</v>
      </c>
      <c r="F587" s="74">
        <v>0</v>
      </c>
      <c r="G587" s="74">
        <v>0</v>
      </c>
      <c r="H587" s="74">
        <v>1.1661605206073753</v>
      </c>
      <c r="I587" s="74"/>
      <c r="J587" s="74">
        <v>3.3185072230846409</v>
      </c>
      <c r="K587" s="74">
        <v>10.251554554290895</v>
      </c>
      <c r="L587" s="74">
        <v>0</v>
      </c>
      <c r="M587" s="74">
        <v>0</v>
      </c>
      <c r="N587" s="74">
        <v>1.0507931908773409</v>
      </c>
    </row>
    <row r="588" spans="1:14" x14ac:dyDescent="0.25">
      <c r="A588" t="e">
        <f>VLOOKUP(VALUE(RIGHT(B588,4)),'Waste Lookups'!$B$1:$C$295,2,FALSE)</f>
        <v>#N/A</v>
      </c>
      <c r="B588" s="74" t="s">
        <v>1941</v>
      </c>
      <c r="C588" s="74" t="s">
        <v>1942</v>
      </c>
      <c r="D588" s="74">
        <v>0</v>
      </c>
      <c r="E588" s="74">
        <v>0</v>
      </c>
      <c r="F588" s="74">
        <v>0</v>
      </c>
      <c r="G588" s="74">
        <v>0</v>
      </c>
      <c r="H588" s="74">
        <v>0</v>
      </c>
      <c r="I588" s="74"/>
      <c r="J588" s="74">
        <v>0</v>
      </c>
      <c r="K588" s="74">
        <v>0</v>
      </c>
      <c r="L588" s="74">
        <v>0</v>
      </c>
      <c r="M588" s="74">
        <v>0</v>
      </c>
      <c r="N588" s="74">
        <v>0</v>
      </c>
    </row>
    <row r="589" spans="1:14" x14ac:dyDescent="0.25">
      <c r="A589" t="e">
        <f>VLOOKUP(VALUE(RIGHT(B589,4)),'Waste Lookups'!$B$1:$C$295,2,FALSE)</f>
        <v>#N/A</v>
      </c>
      <c r="B589" s="74" t="s">
        <v>1943</v>
      </c>
      <c r="C589" s="74" t="s">
        <v>1944</v>
      </c>
      <c r="D589" s="74">
        <v>0</v>
      </c>
      <c r="E589" s="74">
        <v>0</v>
      </c>
      <c r="F589" s="74">
        <v>0</v>
      </c>
      <c r="G589" s="74">
        <v>0</v>
      </c>
      <c r="H589" s="74">
        <v>0</v>
      </c>
      <c r="I589" s="74"/>
      <c r="J589" s="74">
        <v>0</v>
      </c>
      <c r="K589" s="74">
        <v>0</v>
      </c>
      <c r="L589" s="74">
        <v>0</v>
      </c>
      <c r="M589" s="74">
        <v>0</v>
      </c>
      <c r="N589" s="74">
        <v>0</v>
      </c>
    </row>
    <row r="590" spans="1:14" x14ac:dyDescent="0.25">
      <c r="A590" t="e">
        <f>VLOOKUP(VALUE(RIGHT(B590,4)),'Waste Lookups'!$B$1:$C$295,2,FALSE)</f>
        <v>#N/A</v>
      </c>
      <c r="B590" s="74" t="s">
        <v>1945</v>
      </c>
      <c r="C590" s="74" t="s">
        <v>1946</v>
      </c>
      <c r="D590" s="74">
        <v>1.9749090909090909</v>
      </c>
      <c r="E590" s="74">
        <v>3.7288800000000002</v>
      </c>
      <c r="F590" s="74">
        <v>0</v>
      </c>
      <c r="G590" s="74">
        <v>0</v>
      </c>
      <c r="H590" s="74">
        <v>0</v>
      </c>
      <c r="I590" s="74"/>
      <c r="J590" s="74">
        <v>2.2412757042622262</v>
      </c>
      <c r="K590" s="74">
        <v>4.2318141055607921</v>
      </c>
      <c r="L590" s="74">
        <v>0</v>
      </c>
      <c r="M590" s="74">
        <v>0</v>
      </c>
      <c r="N590" s="74">
        <v>0</v>
      </c>
    </row>
    <row r="591" spans="1:14" x14ac:dyDescent="0.25">
      <c r="A591" t="e">
        <f>VLOOKUP(VALUE(RIGHT(B591,4)),'Waste Lookups'!$B$1:$C$295,2,FALSE)</f>
        <v>#N/A</v>
      </c>
      <c r="B591" s="74" t="s">
        <v>1947</v>
      </c>
      <c r="C591" s="74" t="s">
        <v>1948</v>
      </c>
      <c r="D591" s="74">
        <v>0</v>
      </c>
      <c r="E591" s="74">
        <v>0</v>
      </c>
      <c r="F591" s="74">
        <v>0</v>
      </c>
      <c r="G591" s="74">
        <v>0</v>
      </c>
      <c r="H591" s="74">
        <v>0</v>
      </c>
      <c r="I591" s="74"/>
      <c r="J591" s="74">
        <v>0</v>
      </c>
      <c r="K591" s="74">
        <v>0</v>
      </c>
      <c r="L591" s="74">
        <v>0</v>
      </c>
      <c r="M591" s="74">
        <v>0</v>
      </c>
      <c r="N591" s="74">
        <v>0</v>
      </c>
    </row>
    <row r="592" spans="1:14" x14ac:dyDescent="0.25">
      <c r="A592" t="e">
        <f>VLOOKUP(VALUE(RIGHT(B592,4)),'Waste Lookups'!$B$1:$C$295,2,FALSE)</f>
        <v>#N/A</v>
      </c>
      <c r="B592" s="74" t="s">
        <v>1949</v>
      </c>
      <c r="C592" s="74" t="s">
        <v>1950</v>
      </c>
      <c r="D592" s="74">
        <v>0</v>
      </c>
      <c r="E592" s="74">
        <v>0</v>
      </c>
      <c r="F592" s="74">
        <v>0</v>
      </c>
      <c r="G592" s="74">
        <v>0</v>
      </c>
      <c r="H592" s="74">
        <v>0</v>
      </c>
      <c r="I592" s="74"/>
      <c r="J592" s="74">
        <v>0</v>
      </c>
      <c r="K592" s="74">
        <v>0</v>
      </c>
      <c r="L592" s="74">
        <v>0</v>
      </c>
      <c r="M592" s="74">
        <v>0</v>
      </c>
      <c r="N592" s="74">
        <v>0</v>
      </c>
    </row>
    <row r="593" spans="1:14" x14ac:dyDescent="0.25">
      <c r="A593" t="e">
        <f>VLOOKUP(VALUE(RIGHT(B593,4)),'Waste Lookups'!$B$1:$C$295,2,FALSE)</f>
        <v>#N/A</v>
      </c>
      <c r="B593" s="74" t="s">
        <v>1951</v>
      </c>
      <c r="C593" s="74" t="s">
        <v>1952</v>
      </c>
      <c r="D593" s="74">
        <v>4.7671212121212125</v>
      </c>
      <c r="E593" s="74">
        <v>14.745299999999999</v>
      </c>
      <c r="F593" s="74">
        <v>0</v>
      </c>
      <c r="G593" s="74">
        <v>0</v>
      </c>
      <c r="H593" s="74">
        <v>0</v>
      </c>
      <c r="I593" s="74"/>
      <c r="J593" s="74">
        <v>6.5724415386216348</v>
      </c>
      <c r="K593" s="74">
        <v>20.329380753529165</v>
      </c>
      <c r="L593" s="74">
        <v>0</v>
      </c>
      <c r="M593" s="74">
        <v>0</v>
      </c>
      <c r="N593" s="74">
        <v>0</v>
      </c>
    </row>
    <row r="594" spans="1:14" x14ac:dyDescent="0.25">
      <c r="A594" t="e">
        <f>VLOOKUP(VALUE(RIGHT(B594,4)),'Waste Lookups'!$B$1:$C$295,2,FALSE)</f>
        <v>#N/A</v>
      </c>
      <c r="B594" s="74" t="s">
        <v>1953</v>
      </c>
      <c r="C594" s="74" t="s">
        <v>1954</v>
      </c>
      <c r="D594" s="74">
        <v>4.5194242424242432</v>
      </c>
      <c r="E594" s="74">
        <v>24.566520000000001</v>
      </c>
      <c r="F594" s="74">
        <v>0</v>
      </c>
      <c r="G594" s="74">
        <v>0</v>
      </c>
      <c r="H594" s="74">
        <v>0</v>
      </c>
      <c r="I594" s="74"/>
      <c r="J594" s="74">
        <v>1.2843384744175093</v>
      </c>
      <c r="K594" s="74">
        <v>6.9813598206533314</v>
      </c>
      <c r="L594" s="74">
        <v>0</v>
      </c>
      <c r="M594" s="74">
        <v>0</v>
      </c>
      <c r="N594" s="74">
        <v>0</v>
      </c>
    </row>
    <row r="595" spans="1:14" x14ac:dyDescent="0.25">
      <c r="A595" t="e">
        <f>VLOOKUP(VALUE(RIGHT(B595,4)),'Waste Lookups'!$B$1:$C$295,2,FALSE)</f>
        <v>#N/A</v>
      </c>
      <c r="B595" s="74" t="s">
        <v>1955</v>
      </c>
      <c r="C595" s="74" t="s">
        <v>1956</v>
      </c>
      <c r="D595" s="74">
        <v>1.6946969696969696</v>
      </c>
      <c r="E595" s="74">
        <v>2.3759999999999999</v>
      </c>
      <c r="F595" s="74">
        <v>0</v>
      </c>
      <c r="G595" s="74">
        <v>0</v>
      </c>
      <c r="H595" s="74">
        <v>1.2098915401301518</v>
      </c>
      <c r="I595" s="74"/>
      <c r="J595" s="74">
        <v>1.8754276498664391</v>
      </c>
      <c r="K595" s="74">
        <v>2.6293881300085422</v>
      </c>
      <c r="L595" s="74">
        <v>0</v>
      </c>
      <c r="M595" s="74">
        <v>0</v>
      </c>
      <c r="N595" s="74">
        <v>1.3389202248383734</v>
      </c>
    </row>
    <row r="596" spans="1:14" x14ac:dyDescent="0.25">
      <c r="A596" t="e">
        <f>VLOOKUP(VALUE(RIGHT(B596,4)),'Waste Lookups'!$B$1:$C$295,2,FALSE)</f>
        <v>#N/A</v>
      </c>
      <c r="B596" s="74" t="s">
        <v>1957</v>
      </c>
      <c r="C596" s="74" t="s">
        <v>1958</v>
      </c>
      <c r="D596" s="74">
        <v>0</v>
      </c>
      <c r="E596" s="74">
        <v>2.3759999999999999</v>
      </c>
      <c r="F596" s="74">
        <v>0</v>
      </c>
      <c r="G596" s="74">
        <v>0</v>
      </c>
      <c r="H596" s="74">
        <v>1.5014316702819954</v>
      </c>
      <c r="I596" s="74"/>
      <c r="J596" s="74">
        <v>0</v>
      </c>
      <c r="K596" s="74">
        <v>7.0594843049327345</v>
      </c>
      <c r="L596" s="74">
        <v>0</v>
      </c>
      <c r="M596" s="74">
        <v>0</v>
      </c>
      <c r="N596" s="74">
        <v>4.4609988683858122</v>
      </c>
    </row>
    <row r="597" spans="1:14" x14ac:dyDescent="0.25">
      <c r="A597" t="e">
        <f>VLOOKUP(VALUE(RIGHT(B597,4)),'Waste Lookups'!$B$1:$C$295,2,FALSE)</f>
        <v>#N/A</v>
      </c>
      <c r="B597" s="74" t="s">
        <v>1959</v>
      </c>
      <c r="C597" s="74" t="s">
        <v>1960</v>
      </c>
      <c r="D597" s="74">
        <v>0</v>
      </c>
      <c r="E597" s="74">
        <v>4.4752799999999997</v>
      </c>
      <c r="F597" s="74">
        <v>0</v>
      </c>
      <c r="G597" s="74">
        <v>3.03966</v>
      </c>
      <c r="H597" s="74">
        <v>0</v>
      </c>
      <c r="I597" s="74"/>
      <c r="J597" s="74">
        <v>0</v>
      </c>
      <c r="K597" s="74">
        <v>3.4194621561063836</v>
      </c>
      <c r="L597" s="74">
        <v>0</v>
      </c>
      <c r="M597" s="74">
        <v>2.3225367658404239</v>
      </c>
      <c r="N597" s="74">
        <v>0</v>
      </c>
    </row>
    <row r="598" spans="1:14" x14ac:dyDescent="0.25">
      <c r="A598" t="e">
        <f>VLOOKUP(VALUE(RIGHT(B598,4)),'Waste Lookups'!$B$1:$C$295,2,FALSE)</f>
        <v>#N/A</v>
      </c>
      <c r="B598" s="74" t="s">
        <v>1961</v>
      </c>
      <c r="C598" s="74" t="s">
        <v>1962</v>
      </c>
      <c r="D598" s="74">
        <v>1.454818181818182</v>
      </c>
      <c r="E598" s="74">
        <v>0.35490000000000005</v>
      </c>
      <c r="F598" s="74">
        <v>0</v>
      </c>
      <c r="G598" s="74">
        <v>0</v>
      </c>
      <c r="H598" s="74">
        <v>0</v>
      </c>
      <c r="I598" s="74"/>
      <c r="J598" s="74">
        <v>6.2146259442301508</v>
      </c>
      <c r="K598" s="74">
        <v>1.5160456304243006</v>
      </c>
      <c r="L598" s="74">
        <v>0</v>
      </c>
      <c r="M598" s="74">
        <v>0</v>
      </c>
      <c r="N598" s="74">
        <v>0</v>
      </c>
    </row>
    <row r="599" spans="1:14" x14ac:dyDescent="0.25">
      <c r="A599" t="e">
        <f>VLOOKUP(VALUE(RIGHT(B599,4)),'Waste Lookups'!$B$1:$C$295,2,FALSE)</f>
        <v>#N/A</v>
      </c>
      <c r="B599" s="74" t="s">
        <v>1963</v>
      </c>
      <c r="C599" s="74" t="s">
        <v>1964</v>
      </c>
      <c r="D599" s="74">
        <v>1.3982727272727273</v>
      </c>
      <c r="E599" s="74">
        <v>0.40559999999999991</v>
      </c>
      <c r="F599" s="74">
        <v>0</v>
      </c>
      <c r="G599" s="74">
        <v>0</v>
      </c>
      <c r="H599" s="74">
        <v>0</v>
      </c>
      <c r="I599" s="74"/>
      <c r="J599" s="74">
        <v>5.55983866226868</v>
      </c>
      <c r="K599" s="74">
        <v>1.6127544487080123</v>
      </c>
      <c r="L599" s="74">
        <v>0</v>
      </c>
      <c r="M599" s="74">
        <v>0</v>
      </c>
      <c r="N599" s="74">
        <v>0</v>
      </c>
    </row>
    <row r="600" spans="1:14" x14ac:dyDescent="0.25">
      <c r="A600" t="e">
        <f>VLOOKUP(VALUE(RIGHT(B600,4)),'Waste Lookups'!$B$1:$C$295,2,FALSE)</f>
        <v>#N/A</v>
      </c>
      <c r="B600" s="74" t="s">
        <v>1965</v>
      </c>
      <c r="C600" s="74" t="s">
        <v>1966</v>
      </c>
      <c r="D600" s="74">
        <v>3.7495151515151517</v>
      </c>
      <c r="E600" s="74">
        <v>1.3182</v>
      </c>
      <c r="F600" s="74">
        <v>0</v>
      </c>
      <c r="G600" s="74">
        <v>0</v>
      </c>
      <c r="H600" s="74">
        <v>0</v>
      </c>
      <c r="I600" s="74"/>
      <c r="J600" s="74">
        <v>11.068241702355461</v>
      </c>
      <c r="K600" s="74">
        <v>3.891211429336189</v>
      </c>
      <c r="L600" s="74">
        <v>0</v>
      </c>
      <c r="M600" s="74">
        <v>0</v>
      </c>
      <c r="N600" s="74">
        <v>0</v>
      </c>
    </row>
    <row r="601" spans="1:14" x14ac:dyDescent="0.25">
      <c r="A601" t="e">
        <f>VLOOKUP(VALUE(RIGHT(B601,4)),'Waste Lookups'!$B$1:$C$295,2,FALSE)</f>
        <v>#N/A</v>
      </c>
      <c r="B601" s="74" t="s">
        <v>1967</v>
      </c>
      <c r="C601" s="74" t="s">
        <v>1968</v>
      </c>
      <c r="D601" s="74">
        <v>0.68369696969696969</v>
      </c>
      <c r="E601" s="74">
        <v>0.35490000000000005</v>
      </c>
      <c r="F601" s="74">
        <v>0</v>
      </c>
      <c r="G601" s="74">
        <v>0</v>
      </c>
      <c r="H601" s="74">
        <v>0</v>
      </c>
      <c r="I601" s="74"/>
      <c r="J601" s="74">
        <v>2.6673273128801807</v>
      </c>
      <c r="K601" s="74">
        <v>1.3845819204972436</v>
      </c>
      <c r="L601" s="74">
        <v>0</v>
      </c>
      <c r="M601" s="74">
        <v>0</v>
      </c>
      <c r="N601" s="74">
        <v>0</v>
      </c>
    </row>
    <row r="602" spans="1:14" x14ac:dyDescent="0.25">
      <c r="A602" t="e">
        <f>VLOOKUP(VALUE(RIGHT(B602,4)),'Waste Lookups'!$B$1:$C$295,2,FALSE)</f>
        <v>#N/A</v>
      </c>
      <c r="B602" s="74" t="s">
        <v>1969</v>
      </c>
      <c r="C602" s="74" t="s">
        <v>1970</v>
      </c>
      <c r="D602" s="74">
        <v>0.80839393939393933</v>
      </c>
      <c r="E602" s="74">
        <v>0</v>
      </c>
      <c r="F602" s="74">
        <v>0</v>
      </c>
      <c r="G602" s="74">
        <v>0</v>
      </c>
      <c r="H602" s="74">
        <v>0</v>
      </c>
      <c r="I602" s="74"/>
      <c r="J602" s="74">
        <v>1.4957777777777779</v>
      </c>
      <c r="K602" s="74">
        <v>0</v>
      </c>
      <c r="L602" s="74">
        <v>0</v>
      </c>
      <c r="M602" s="74">
        <v>0</v>
      </c>
      <c r="N602" s="74">
        <v>0</v>
      </c>
    </row>
    <row r="603" spans="1:14" x14ac:dyDescent="0.25">
      <c r="A603" t="e">
        <f>VLOOKUP(VALUE(RIGHT(B603,4)),'Waste Lookups'!$B$1:$C$295,2,FALSE)</f>
        <v>#N/A</v>
      </c>
      <c r="B603" s="74" t="s">
        <v>1971</v>
      </c>
      <c r="C603" s="74" t="s">
        <v>1972</v>
      </c>
      <c r="D603" s="74">
        <v>1.6482727272727273</v>
      </c>
      <c r="E603" s="74">
        <v>15.93876</v>
      </c>
      <c r="F603" s="74">
        <v>0</v>
      </c>
      <c r="G603" s="74">
        <v>3.1881599999999999</v>
      </c>
      <c r="H603" s="74">
        <v>0</v>
      </c>
      <c r="I603" s="74"/>
      <c r="J603" s="74">
        <v>1.5493204726417844</v>
      </c>
      <c r="K603" s="74">
        <v>14.981893935346294</v>
      </c>
      <c r="L603" s="74">
        <v>0</v>
      </c>
      <c r="M603" s="74">
        <v>2.9967622932344575</v>
      </c>
      <c r="N603" s="74">
        <v>0</v>
      </c>
    </row>
    <row r="604" spans="1:14" x14ac:dyDescent="0.25">
      <c r="A604" t="e">
        <f>VLOOKUP(VALUE(RIGHT(B604,4)),'Waste Lookups'!$B$1:$C$295,2,FALSE)</f>
        <v>#N/A</v>
      </c>
      <c r="B604" s="74" t="s">
        <v>1973</v>
      </c>
      <c r="C604" s="74" t="s">
        <v>1974</v>
      </c>
      <c r="D604" s="74">
        <v>1.5092121212121214</v>
      </c>
      <c r="E604" s="74">
        <v>12.356819999999997</v>
      </c>
      <c r="F604" s="74">
        <v>0</v>
      </c>
      <c r="G604" s="74">
        <v>0.60371999999999992</v>
      </c>
      <c r="H604" s="74">
        <v>0</v>
      </c>
      <c r="I604" s="74"/>
      <c r="J604" s="74">
        <v>1.3011680342876837</v>
      </c>
      <c r="K604" s="74">
        <v>10.653438945701994</v>
      </c>
      <c r="L604" s="74">
        <v>0</v>
      </c>
      <c r="M604" s="74">
        <v>0.52049751961258706</v>
      </c>
      <c r="N604" s="74">
        <v>0</v>
      </c>
    </row>
    <row r="605" spans="1:14" x14ac:dyDescent="0.25">
      <c r="A605" t="e">
        <f>VLOOKUP(VALUE(RIGHT(B605,4)),'Waste Lookups'!$B$1:$C$295,2,FALSE)</f>
        <v>#N/A</v>
      </c>
      <c r="B605" s="74" t="s">
        <v>1975</v>
      </c>
      <c r="C605" s="74" t="s">
        <v>1976</v>
      </c>
      <c r="D605" s="74">
        <v>1.5436363636363635</v>
      </c>
      <c r="E605" s="74">
        <v>1.2136800000000001</v>
      </c>
      <c r="F605" s="74">
        <v>0</v>
      </c>
      <c r="G605" s="74">
        <v>3.80016</v>
      </c>
      <c r="H605" s="74">
        <v>0</v>
      </c>
      <c r="I605" s="74"/>
      <c r="J605" s="74">
        <v>1.9725668036545785</v>
      </c>
      <c r="K605" s="74">
        <v>1.5509254217228727</v>
      </c>
      <c r="L605" s="74">
        <v>0</v>
      </c>
      <c r="M605" s="74">
        <v>4.8561109605615913</v>
      </c>
      <c r="N605" s="74">
        <v>0</v>
      </c>
    </row>
    <row r="606" spans="1:14" x14ac:dyDescent="0.25">
      <c r="A606" t="e">
        <f>VLOOKUP(VALUE(RIGHT(B606,4)),'Waste Lookups'!$B$1:$C$295,2,FALSE)</f>
        <v>#N/A</v>
      </c>
      <c r="B606" s="74" t="s">
        <v>1977</v>
      </c>
      <c r="C606" s="74" t="s">
        <v>1978</v>
      </c>
      <c r="D606" s="74">
        <v>0.12648484848484851</v>
      </c>
      <c r="E606" s="74">
        <v>0.54756000000000005</v>
      </c>
      <c r="F606" s="74">
        <v>0</v>
      </c>
      <c r="G606" s="74">
        <v>0</v>
      </c>
      <c r="H606" s="74">
        <v>0</v>
      </c>
      <c r="I606" s="74"/>
      <c r="J606" s="74">
        <v>1.6036598663324979</v>
      </c>
      <c r="K606" s="74">
        <v>6.9423334646616546</v>
      </c>
      <c r="L606" s="74">
        <v>0</v>
      </c>
      <c r="M606" s="74">
        <v>0</v>
      </c>
      <c r="N606" s="74">
        <v>0</v>
      </c>
    </row>
    <row r="607" spans="1:14" x14ac:dyDescent="0.25">
      <c r="A607" t="e">
        <f>VLOOKUP(VALUE(RIGHT(B607,4)),'Waste Lookups'!$B$1:$C$295,2,FALSE)</f>
        <v>#N/A</v>
      </c>
      <c r="B607" s="74" t="s">
        <v>1979</v>
      </c>
      <c r="C607" s="74" t="s">
        <v>1980</v>
      </c>
      <c r="D607" s="74">
        <v>1.9996666666666667</v>
      </c>
      <c r="E607" s="74">
        <v>0.81119999999999981</v>
      </c>
      <c r="F607" s="74">
        <v>0</v>
      </c>
      <c r="G607" s="74">
        <v>0</v>
      </c>
      <c r="H607" s="74">
        <v>0</v>
      </c>
      <c r="I607" s="74"/>
      <c r="J607" s="74">
        <v>7.7232510987575136</v>
      </c>
      <c r="K607" s="74">
        <v>3.1330728244601236</v>
      </c>
      <c r="L607" s="74">
        <v>0</v>
      </c>
      <c r="M607" s="74">
        <v>0</v>
      </c>
      <c r="N607" s="74">
        <v>0</v>
      </c>
    </row>
    <row r="608" spans="1:14" x14ac:dyDescent="0.25">
      <c r="A608" t="e">
        <f>VLOOKUP(VALUE(RIGHT(B608,4)),'Waste Lookups'!$B$1:$C$295,2,FALSE)</f>
        <v>#N/A</v>
      </c>
      <c r="B608" s="74" t="s">
        <v>1981</v>
      </c>
      <c r="C608" s="74" t="s">
        <v>1982</v>
      </c>
      <c r="D608" s="74">
        <v>2.7704242424242427</v>
      </c>
      <c r="E608" s="74">
        <v>1.1660999999999999</v>
      </c>
      <c r="F608" s="74">
        <v>0</v>
      </c>
      <c r="G608" s="74">
        <v>0</v>
      </c>
      <c r="H608" s="74">
        <v>0</v>
      </c>
      <c r="I608" s="74"/>
      <c r="J608" s="74">
        <v>8.8163873990083506</v>
      </c>
      <c r="K608" s="74">
        <v>3.7109079499634667</v>
      </c>
      <c r="L608" s="74">
        <v>0</v>
      </c>
      <c r="M608" s="74">
        <v>0</v>
      </c>
      <c r="N608" s="74">
        <v>0</v>
      </c>
    </row>
    <row r="609" spans="1:14" x14ac:dyDescent="0.25">
      <c r="A609" t="e">
        <f>VLOOKUP(VALUE(RIGHT(B609,4)),'Waste Lookups'!$B$1:$C$295,2,FALSE)</f>
        <v>#N/A</v>
      </c>
      <c r="B609" s="74" t="s">
        <v>1983</v>
      </c>
      <c r="C609" s="74" t="s">
        <v>1984</v>
      </c>
      <c r="D609" s="74">
        <v>1.0466666666666664</v>
      </c>
      <c r="E609" s="74">
        <v>12.792540000000001</v>
      </c>
      <c r="F609" s="74">
        <v>0</v>
      </c>
      <c r="G609" s="74">
        <v>0</v>
      </c>
      <c r="H609" s="74">
        <v>0</v>
      </c>
      <c r="I609" s="74"/>
      <c r="J609" s="74">
        <v>0.71719487823922146</v>
      </c>
      <c r="K609" s="74">
        <v>8.7656791410863413</v>
      </c>
      <c r="L609" s="74">
        <v>0</v>
      </c>
      <c r="M609" s="74">
        <v>0</v>
      </c>
      <c r="N609" s="74">
        <v>0</v>
      </c>
    </row>
    <row r="610" spans="1:14" x14ac:dyDescent="0.25">
      <c r="A610" t="e">
        <f>VLOOKUP(VALUE(RIGHT(B610,4)),'Waste Lookups'!$B$1:$C$295,2,FALSE)</f>
        <v>#N/A</v>
      </c>
      <c r="B610" s="74" t="s">
        <v>1985</v>
      </c>
      <c r="C610" s="74" t="s">
        <v>1986</v>
      </c>
      <c r="D610" s="74">
        <v>1.9936060606060606</v>
      </c>
      <c r="E610" s="74">
        <v>3.3534599999999997</v>
      </c>
      <c r="F610" s="74">
        <v>0</v>
      </c>
      <c r="G610" s="74">
        <v>0</v>
      </c>
      <c r="H610" s="74">
        <v>0</v>
      </c>
      <c r="I610" s="74"/>
      <c r="J610" s="74">
        <v>1.7030124728340277</v>
      </c>
      <c r="K610" s="74">
        <v>2.864650303788626</v>
      </c>
      <c r="L610" s="74">
        <v>0</v>
      </c>
      <c r="M610" s="74">
        <v>0</v>
      </c>
      <c r="N610" s="74">
        <v>0</v>
      </c>
    </row>
    <row r="611" spans="1:14" x14ac:dyDescent="0.25">
      <c r="A611" t="e">
        <f>VLOOKUP(VALUE(RIGHT(B611,4)),'Waste Lookups'!$B$1:$C$295,2,FALSE)</f>
        <v>#N/A</v>
      </c>
      <c r="B611" s="74" t="s">
        <v>1987</v>
      </c>
      <c r="C611" s="74" t="s">
        <v>1988</v>
      </c>
      <c r="D611" s="74">
        <v>2.7769696969696969</v>
      </c>
      <c r="E611" s="74">
        <v>19.205219999999997</v>
      </c>
      <c r="F611" s="74">
        <v>0</v>
      </c>
      <c r="G611" s="74">
        <v>0.65015999999999985</v>
      </c>
      <c r="H611" s="74">
        <v>0</v>
      </c>
      <c r="I611" s="74"/>
      <c r="J611" s="74">
        <v>3.0590705675206253</v>
      </c>
      <c r="K611" s="74">
        <v>21.156198898701756</v>
      </c>
      <c r="L611" s="74">
        <v>0</v>
      </c>
      <c r="M611" s="74">
        <v>0.71620706641110754</v>
      </c>
      <c r="N611" s="74">
        <v>0</v>
      </c>
    </row>
    <row r="612" spans="1:14" x14ac:dyDescent="0.25">
      <c r="A612" t="e">
        <f>VLOOKUP(VALUE(RIGHT(B612,4)),'Waste Lookups'!$B$1:$C$295,2,FALSE)</f>
        <v>#N/A</v>
      </c>
      <c r="B612" s="74" t="s">
        <v>1989</v>
      </c>
      <c r="C612" s="74" t="s">
        <v>1990</v>
      </c>
      <c r="D612" s="74">
        <v>1.2479090909090911</v>
      </c>
      <c r="E612" s="74">
        <v>0.40559999999999991</v>
      </c>
      <c r="F612" s="74">
        <v>0</v>
      </c>
      <c r="G612" s="74">
        <v>0</v>
      </c>
      <c r="H612" s="74">
        <v>0</v>
      </c>
      <c r="I612" s="74"/>
      <c r="J612" s="74">
        <v>5.473290852297616</v>
      </c>
      <c r="K612" s="74">
        <v>1.7789491124507204</v>
      </c>
      <c r="L612" s="74">
        <v>0</v>
      </c>
      <c r="M612" s="74">
        <v>0</v>
      </c>
      <c r="N612" s="74">
        <v>0</v>
      </c>
    </row>
    <row r="613" spans="1:14" x14ac:dyDescent="0.25">
      <c r="A613" t="e">
        <f>VLOOKUP(VALUE(RIGHT(B613,4)),'Waste Lookups'!$B$1:$C$295,2,FALSE)</f>
        <v>#N/A</v>
      </c>
      <c r="B613" s="74" t="s">
        <v>1991</v>
      </c>
      <c r="C613" s="74" t="s">
        <v>1992</v>
      </c>
      <c r="D613" s="74">
        <v>1.8820909090909093</v>
      </c>
      <c r="E613" s="74">
        <v>0.61770000000000003</v>
      </c>
      <c r="F613" s="74">
        <v>0</v>
      </c>
      <c r="G613" s="74">
        <v>0</v>
      </c>
      <c r="H613" s="74">
        <v>0</v>
      </c>
      <c r="I613" s="74"/>
      <c r="J613" s="74">
        <v>6.366178218744821</v>
      </c>
      <c r="K613" s="74">
        <v>2.0893721268852548</v>
      </c>
      <c r="L613" s="74">
        <v>0</v>
      </c>
      <c r="M613" s="74">
        <v>0</v>
      </c>
      <c r="N613" s="74">
        <v>0</v>
      </c>
    </row>
    <row r="614" spans="1:14" x14ac:dyDescent="0.25">
      <c r="A614" t="e">
        <f>VLOOKUP(VALUE(RIGHT(B614,4)),'Waste Lookups'!$B$1:$C$295,2,FALSE)</f>
        <v>#N/A</v>
      </c>
      <c r="B614" s="74" t="s">
        <v>1993</v>
      </c>
      <c r="C614" s="74" t="s">
        <v>1994</v>
      </c>
      <c r="D614" s="74">
        <v>2.8957878787878788</v>
      </c>
      <c r="E614" s="74">
        <v>0.31931999999999999</v>
      </c>
      <c r="F614" s="74">
        <v>0</v>
      </c>
      <c r="G614" s="74">
        <v>0</v>
      </c>
      <c r="H614" s="74">
        <v>0</v>
      </c>
      <c r="I614" s="74"/>
      <c r="J614" s="74">
        <v>2.9159120683806439</v>
      </c>
      <c r="K614" s="74">
        <v>0.32153910460632612</v>
      </c>
      <c r="L614" s="74">
        <v>0</v>
      </c>
      <c r="M614" s="74">
        <v>0</v>
      </c>
      <c r="N614" s="74">
        <v>0</v>
      </c>
    </row>
    <row r="615" spans="1:14" x14ac:dyDescent="0.25">
      <c r="A615" t="e">
        <f>VLOOKUP(VALUE(RIGHT(B615,4)),'Waste Lookups'!$B$1:$C$295,2,FALSE)</f>
        <v>#N/A</v>
      </c>
      <c r="B615" s="74" t="s">
        <v>1995</v>
      </c>
      <c r="C615" s="74" t="s">
        <v>1996</v>
      </c>
      <c r="D615" s="74">
        <v>0</v>
      </c>
      <c r="E615" s="74">
        <v>0.38874000000000003</v>
      </c>
      <c r="F615" s="74">
        <v>0</v>
      </c>
      <c r="G615" s="74">
        <v>0</v>
      </c>
      <c r="H615" s="74">
        <v>0</v>
      </c>
      <c r="I615" s="74"/>
      <c r="J615" s="74">
        <v>0</v>
      </c>
      <c r="K615" s="74">
        <v>5.1486049999999999</v>
      </c>
      <c r="L615" s="74">
        <v>0</v>
      </c>
      <c r="M615" s="74">
        <v>0</v>
      </c>
      <c r="N615" s="74">
        <v>0</v>
      </c>
    </row>
    <row r="616" spans="1:14" x14ac:dyDescent="0.25">
      <c r="A616" t="e">
        <f>VLOOKUP(VALUE(RIGHT(B616,4)),'Waste Lookups'!$B$1:$C$295,2,FALSE)</f>
        <v>#N/A</v>
      </c>
      <c r="B616" s="74" t="s">
        <v>1997</v>
      </c>
      <c r="C616" s="74" t="s">
        <v>1998</v>
      </c>
      <c r="D616" s="74">
        <v>3.2645757575757575</v>
      </c>
      <c r="E616" s="74">
        <v>1.4895</v>
      </c>
      <c r="F616" s="74">
        <v>0</v>
      </c>
      <c r="G616" s="74">
        <v>0</v>
      </c>
      <c r="H616" s="74">
        <v>0</v>
      </c>
      <c r="I616" s="74"/>
      <c r="J616" s="74">
        <v>11.739930559327545</v>
      </c>
      <c r="K616" s="74">
        <v>5.3564774925314591</v>
      </c>
      <c r="L616" s="74">
        <v>0</v>
      </c>
      <c r="M616" s="74">
        <v>0</v>
      </c>
      <c r="N616" s="74">
        <v>0</v>
      </c>
    </row>
    <row r="617" spans="1:14" x14ac:dyDescent="0.25">
      <c r="A617" t="e">
        <f>VLOOKUP(VALUE(RIGHT(B617,4)),'Waste Lookups'!$B$1:$C$295,2,FALSE)</f>
        <v>#N/A</v>
      </c>
      <c r="B617" s="74" t="s">
        <v>1999</v>
      </c>
      <c r="C617" s="74" t="s">
        <v>2000</v>
      </c>
      <c r="D617" s="74">
        <v>1.8361212121212123</v>
      </c>
      <c r="E617" s="74">
        <v>14.946959999999999</v>
      </c>
      <c r="F617" s="74">
        <v>0</v>
      </c>
      <c r="G617" s="74">
        <v>1.2074399999999998</v>
      </c>
      <c r="H617" s="74">
        <v>0</v>
      </c>
      <c r="I617" s="74"/>
      <c r="J617" s="74">
        <v>1.9681405115889463</v>
      </c>
      <c r="K617" s="74">
        <v>16.021664205444349</v>
      </c>
      <c r="L617" s="74">
        <v>0</v>
      </c>
      <c r="M617" s="74">
        <v>1.2942563724143055</v>
      </c>
      <c r="N617" s="74">
        <v>0</v>
      </c>
    </row>
    <row r="618" spans="1:14" x14ac:dyDescent="0.25">
      <c r="A618" t="str">
        <f>VLOOKUP(VALUE(RIGHT(B618,4)),'Waste Lookups'!$B$1:$C$295,2,FALSE)</f>
        <v>Wilberforce Court Suite 1</v>
      </c>
      <c r="B618" s="74" t="s">
        <v>757</v>
      </c>
      <c r="C618" s="74" t="s">
        <v>2001</v>
      </c>
      <c r="D618" s="74">
        <v>5.3915757575757581</v>
      </c>
      <c r="E618" s="74">
        <v>2.1916199999999999</v>
      </c>
      <c r="F618" s="74">
        <v>0</v>
      </c>
      <c r="G618" s="74">
        <v>0</v>
      </c>
      <c r="H618" s="74">
        <v>0</v>
      </c>
      <c r="I618" s="74"/>
      <c r="J618" s="74">
        <v>16.567067118522356</v>
      </c>
      <c r="K618" s="74">
        <v>6.7343421053257417</v>
      </c>
      <c r="L618" s="74">
        <v>0</v>
      </c>
      <c r="M618" s="74">
        <v>0</v>
      </c>
      <c r="N618" s="74">
        <v>0</v>
      </c>
    </row>
    <row r="619" spans="1:14" x14ac:dyDescent="0.25">
      <c r="A619" t="e">
        <f>VLOOKUP(VALUE(RIGHT(B619,4)),'Waste Lookups'!$B$1:$C$295,2,FALSE)</f>
        <v>#N/A</v>
      </c>
      <c r="B619" s="74" t="s">
        <v>2002</v>
      </c>
      <c r="C619" s="74" t="s">
        <v>2003</v>
      </c>
      <c r="D619" s="74">
        <v>1.5503030303030305</v>
      </c>
      <c r="E619" s="74">
        <v>9.0953999999999997</v>
      </c>
      <c r="F619" s="74">
        <v>7.2000000000000008E-2</v>
      </c>
      <c r="G619" s="74">
        <v>0</v>
      </c>
      <c r="H619" s="74">
        <v>0</v>
      </c>
      <c r="I619" s="74"/>
      <c r="J619" s="74">
        <v>1.887105757394955</v>
      </c>
      <c r="K619" s="74">
        <v>11.071372093270766</v>
      </c>
      <c r="L619" s="74">
        <v>8.7641971844613226E-2</v>
      </c>
      <c r="M619" s="74">
        <v>0</v>
      </c>
      <c r="N619" s="74">
        <v>0</v>
      </c>
    </row>
    <row r="620" spans="1:14" x14ac:dyDescent="0.25">
      <c r="A620" t="e">
        <f>VLOOKUP(VALUE(RIGHT(B620,4)),'Waste Lookups'!$B$1:$C$295,2,FALSE)</f>
        <v>#N/A</v>
      </c>
      <c r="B620" s="74" t="s">
        <v>2004</v>
      </c>
      <c r="C620" s="74" t="s">
        <v>2005</v>
      </c>
      <c r="D620" s="74">
        <v>0</v>
      </c>
      <c r="E620" s="74">
        <v>3.1512000000000002</v>
      </c>
      <c r="F620" s="74">
        <v>0</v>
      </c>
      <c r="G620" s="74">
        <v>0</v>
      </c>
      <c r="H620" s="74">
        <v>0</v>
      </c>
      <c r="I620" s="74"/>
      <c r="J620" s="74">
        <v>0</v>
      </c>
      <c r="K620" s="74">
        <v>2.76925</v>
      </c>
      <c r="L620" s="74">
        <v>0</v>
      </c>
      <c r="M620" s="74">
        <v>0</v>
      </c>
      <c r="N620" s="74">
        <v>0</v>
      </c>
    </row>
    <row r="621" spans="1:14" x14ac:dyDescent="0.25">
      <c r="A621" t="str">
        <f>VLOOKUP(VALUE(RIGHT(B621,4)),'Waste Lookups'!$B$1:$C$295,2,FALSE)</f>
        <v>Health Place</v>
      </c>
      <c r="B621" s="74" t="s">
        <v>725</v>
      </c>
      <c r="C621" s="74" t="s">
        <v>2006</v>
      </c>
      <c r="D621" s="74">
        <v>0</v>
      </c>
      <c r="E621" s="74">
        <v>23.710259999999998</v>
      </c>
      <c r="F621" s="74">
        <v>0</v>
      </c>
      <c r="G621" s="74">
        <v>1.9889999999999999</v>
      </c>
      <c r="H621" s="74">
        <v>0</v>
      </c>
      <c r="I621" s="74"/>
      <c r="J621" s="74">
        <v>0</v>
      </c>
      <c r="K621" s="74">
        <v>25.58587588802002</v>
      </c>
      <c r="L621" s="74">
        <v>0</v>
      </c>
      <c r="M621" s="74">
        <v>2.1463411679699762</v>
      </c>
      <c r="N621" s="74">
        <v>0</v>
      </c>
    </row>
    <row r="622" spans="1:14" x14ac:dyDescent="0.25">
      <c r="A622" t="e">
        <f>VLOOKUP(VALUE(RIGHT(B622,4)),'Waste Lookups'!$B$1:$C$295,2,FALSE)</f>
        <v>#N/A</v>
      </c>
      <c r="B622" s="74" t="s">
        <v>2007</v>
      </c>
      <c r="C622" s="74" t="s">
        <v>2008</v>
      </c>
      <c r="D622" s="74">
        <v>3.7436666666666669</v>
      </c>
      <c r="E622" s="74">
        <v>15.23232</v>
      </c>
      <c r="F622" s="74">
        <v>0</v>
      </c>
      <c r="G622" s="74">
        <v>0</v>
      </c>
      <c r="H622" s="74">
        <v>0</v>
      </c>
      <c r="I622" s="74"/>
      <c r="J622" s="74">
        <v>5.2210423199077232</v>
      </c>
      <c r="K622" s="74">
        <v>21.24350120658271</v>
      </c>
      <c r="L622" s="74">
        <v>0</v>
      </c>
      <c r="M622" s="74">
        <v>0</v>
      </c>
      <c r="N622" s="74">
        <v>0</v>
      </c>
    </row>
    <row r="623" spans="1:14" x14ac:dyDescent="0.25">
      <c r="A623" t="e">
        <f>VLOOKUP(VALUE(RIGHT(B623,4)),'Waste Lookups'!$B$1:$C$295,2,FALSE)</f>
        <v>#N/A</v>
      </c>
      <c r="B623" s="74" t="s">
        <v>2009</v>
      </c>
      <c r="C623" s="74" t="s">
        <v>2010</v>
      </c>
      <c r="D623" s="74">
        <v>0</v>
      </c>
      <c r="E623" s="74">
        <v>0</v>
      </c>
      <c r="F623" s="74">
        <v>0</v>
      </c>
      <c r="G623" s="74">
        <v>0</v>
      </c>
      <c r="H623" s="74">
        <v>0</v>
      </c>
      <c r="I623" s="74"/>
      <c r="J623" s="74">
        <v>0</v>
      </c>
      <c r="K623" s="74">
        <v>0</v>
      </c>
      <c r="L623" s="74">
        <v>0</v>
      </c>
      <c r="M623" s="74">
        <v>0</v>
      </c>
      <c r="N623" s="74">
        <v>0</v>
      </c>
    </row>
    <row r="624" spans="1:14" x14ac:dyDescent="0.25">
      <c r="A624" t="e">
        <f>VLOOKUP(VALUE(RIGHT(B624,4)),'Waste Lookups'!$B$1:$C$295,2,FALSE)</f>
        <v>#N/A</v>
      </c>
      <c r="B624" s="74" t="s">
        <v>2011</v>
      </c>
      <c r="C624" s="74" t="s">
        <v>2012</v>
      </c>
      <c r="D624" s="74">
        <v>0</v>
      </c>
      <c r="E624" s="74">
        <v>4.5863999999999985</v>
      </c>
      <c r="F624" s="74">
        <v>0</v>
      </c>
      <c r="G624" s="74">
        <v>0</v>
      </c>
      <c r="H624" s="74">
        <v>0</v>
      </c>
      <c r="I624" s="74"/>
      <c r="J624" s="74">
        <v>0</v>
      </c>
      <c r="K624" s="74">
        <v>3.9935500000000004</v>
      </c>
      <c r="L624" s="74">
        <v>0</v>
      </c>
      <c r="M624" s="74">
        <v>0</v>
      </c>
      <c r="N624" s="74">
        <v>0</v>
      </c>
    </row>
    <row r="625" spans="1:14" x14ac:dyDescent="0.25">
      <c r="A625" t="e">
        <f>VLOOKUP(VALUE(RIGHT(B625,4)),'Waste Lookups'!$B$1:$C$295,2,FALSE)</f>
        <v>#N/A</v>
      </c>
      <c r="B625" s="74" t="s">
        <v>2013</v>
      </c>
      <c r="C625" s="74" t="s">
        <v>2014</v>
      </c>
      <c r="D625" s="74">
        <v>0</v>
      </c>
      <c r="E625" s="74">
        <v>0</v>
      </c>
      <c r="F625" s="74">
        <v>0</v>
      </c>
      <c r="G625" s="74">
        <v>0</v>
      </c>
      <c r="H625" s="74">
        <v>0</v>
      </c>
      <c r="I625" s="74"/>
      <c r="J625" s="74">
        <v>0</v>
      </c>
      <c r="K625" s="74">
        <v>0</v>
      </c>
      <c r="L625" s="74">
        <v>0</v>
      </c>
      <c r="M625" s="74">
        <v>0</v>
      </c>
      <c r="N625" s="74">
        <v>0</v>
      </c>
    </row>
    <row r="626" spans="1:14" x14ac:dyDescent="0.25">
      <c r="A626" t="e">
        <f>VLOOKUP(VALUE(RIGHT(B626,4)),'Waste Lookups'!$B$1:$C$295,2,FALSE)</f>
        <v>#N/A</v>
      </c>
      <c r="B626" s="74" t="s">
        <v>2015</v>
      </c>
      <c r="C626" s="74" t="s">
        <v>2016</v>
      </c>
      <c r="D626" s="74">
        <v>0</v>
      </c>
      <c r="E626" s="74">
        <v>0</v>
      </c>
      <c r="F626" s="74">
        <v>0</v>
      </c>
      <c r="G626" s="74">
        <v>0</v>
      </c>
      <c r="H626" s="74">
        <v>0</v>
      </c>
      <c r="I626" s="74"/>
      <c r="J626" s="74">
        <v>0</v>
      </c>
      <c r="K626" s="74">
        <v>0</v>
      </c>
      <c r="L626" s="74">
        <v>0</v>
      </c>
      <c r="M626" s="74">
        <v>0</v>
      </c>
      <c r="N626" s="74">
        <v>0</v>
      </c>
    </row>
    <row r="627" spans="1:14" x14ac:dyDescent="0.25">
      <c r="A627" t="str">
        <f>VLOOKUP(VALUE(RIGHT(B627,4)),'Waste Lookups'!$B$1:$C$295,2,FALSE)</f>
        <v>Health House</v>
      </c>
      <c r="B627" s="74" t="s">
        <v>724</v>
      </c>
      <c r="C627" s="74" t="s">
        <v>2017</v>
      </c>
      <c r="D627" s="74">
        <v>0</v>
      </c>
      <c r="E627" s="74">
        <v>18.195359999999997</v>
      </c>
      <c r="F627" s="74">
        <v>0</v>
      </c>
      <c r="G627" s="74">
        <v>0</v>
      </c>
      <c r="H627" s="74">
        <v>0</v>
      </c>
      <c r="I627" s="74"/>
      <c r="J627" s="74">
        <v>0</v>
      </c>
      <c r="K627" s="74">
        <v>32.359195</v>
      </c>
      <c r="L627" s="74">
        <v>0</v>
      </c>
      <c r="M627" s="74">
        <v>0</v>
      </c>
      <c r="N627" s="74">
        <v>0</v>
      </c>
    </row>
    <row r="628" spans="1:14" x14ac:dyDescent="0.25">
      <c r="A628" t="e">
        <f>VLOOKUP(VALUE(RIGHT(B628,4)),'Waste Lookups'!$B$1:$C$295,2,FALSE)</f>
        <v>#N/A</v>
      </c>
      <c r="B628" s="74" t="s">
        <v>2018</v>
      </c>
      <c r="C628" s="74" t="s">
        <v>2019</v>
      </c>
      <c r="D628" s="74">
        <v>0</v>
      </c>
      <c r="E628" s="74">
        <v>0</v>
      </c>
      <c r="F628" s="74">
        <v>0</v>
      </c>
      <c r="G628" s="74">
        <v>0</v>
      </c>
      <c r="H628" s="74">
        <v>0</v>
      </c>
      <c r="I628" s="74"/>
      <c r="J628" s="74">
        <v>0</v>
      </c>
      <c r="K628" s="74">
        <v>0</v>
      </c>
      <c r="L628" s="74">
        <v>0</v>
      </c>
      <c r="M628" s="74">
        <v>0</v>
      </c>
      <c r="N628" s="74">
        <v>0</v>
      </c>
    </row>
    <row r="629" spans="1:14" x14ac:dyDescent="0.25">
      <c r="A629" t="e">
        <f>VLOOKUP(VALUE(RIGHT(B629,4)),'Waste Lookups'!$B$1:$C$295,2,FALSE)</f>
        <v>#N/A</v>
      </c>
      <c r="B629" s="74" t="s">
        <v>2020</v>
      </c>
      <c r="C629" s="74" t="s">
        <v>2021</v>
      </c>
      <c r="D629" s="74">
        <v>0</v>
      </c>
      <c r="E629" s="74">
        <v>0</v>
      </c>
      <c r="F629" s="74">
        <v>0</v>
      </c>
      <c r="G629" s="74">
        <v>0</v>
      </c>
      <c r="H629" s="74">
        <v>0</v>
      </c>
      <c r="I629" s="74"/>
      <c r="J629" s="74">
        <v>0</v>
      </c>
      <c r="K629" s="74">
        <v>0</v>
      </c>
      <c r="L629" s="74">
        <v>0</v>
      </c>
      <c r="M629" s="74">
        <v>0</v>
      </c>
      <c r="N629" s="74">
        <v>0</v>
      </c>
    </row>
    <row r="630" spans="1:14" x14ac:dyDescent="0.25">
      <c r="A630" t="e">
        <f>VLOOKUP(VALUE(RIGHT(B630,4)),'Waste Lookups'!$B$1:$C$295,2,FALSE)</f>
        <v>#N/A</v>
      </c>
      <c r="B630" s="74" t="s">
        <v>2022</v>
      </c>
      <c r="C630" s="74" t="s">
        <v>2023</v>
      </c>
      <c r="D630" s="74">
        <v>6.5103030303030307</v>
      </c>
      <c r="E630" s="74">
        <v>4.8609599999999995</v>
      </c>
      <c r="F630" s="74">
        <v>0</v>
      </c>
      <c r="G630" s="74">
        <v>0</v>
      </c>
      <c r="H630" s="74">
        <v>0</v>
      </c>
      <c r="I630" s="74"/>
      <c r="J630" s="74">
        <v>3.777021433850702</v>
      </c>
      <c r="K630" s="74">
        <v>2.8201375609756094</v>
      </c>
      <c r="L630" s="74">
        <v>0</v>
      </c>
      <c r="M630" s="74">
        <v>0</v>
      </c>
      <c r="N630" s="74">
        <v>0</v>
      </c>
    </row>
    <row r="631" spans="1:14" x14ac:dyDescent="0.25">
      <c r="A631" t="e">
        <f>VLOOKUP(VALUE(RIGHT(B631,4)),'Waste Lookups'!$B$1:$C$295,2,FALSE)</f>
        <v>#N/A</v>
      </c>
      <c r="B631" s="74" t="s">
        <v>2024</v>
      </c>
      <c r="C631" s="74" t="s">
        <v>2025</v>
      </c>
      <c r="D631" s="74">
        <v>2.5028484848484851</v>
      </c>
      <c r="E631" s="74">
        <v>4.1324399999999999</v>
      </c>
      <c r="F631" s="74">
        <v>0</v>
      </c>
      <c r="G631" s="74">
        <v>0</v>
      </c>
      <c r="H631" s="74">
        <v>0</v>
      </c>
      <c r="I631" s="74"/>
      <c r="J631" s="74">
        <v>1.297214840391663</v>
      </c>
      <c r="K631" s="74">
        <v>2.1418246160245067</v>
      </c>
      <c r="L631" s="74">
        <v>0</v>
      </c>
      <c r="M631" s="74">
        <v>0</v>
      </c>
      <c r="N631" s="74">
        <v>0</v>
      </c>
    </row>
    <row r="632" spans="1:14" x14ac:dyDescent="0.25">
      <c r="A632" t="e">
        <f>VLOOKUP(VALUE(RIGHT(B632,4)),'Waste Lookups'!$B$1:$C$295,2,FALSE)</f>
        <v>#N/A</v>
      </c>
      <c r="B632" s="74" t="s">
        <v>2026</v>
      </c>
      <c r="C632" s="74" t="s">
        <v>2027</v>
      </c>
      <c r="D632" s="74">
        <v>0</v>
      </c>
      <c r="E632" s="74">
        <v>4.8217799999999995</v>
      </c>
      <c r="F632" s="74">
        <v>0</v>
      </c>
      <c r="G632" s="74">
        <v>0</v>
      </c>
      <c r="H632" s="74">
        <v>0.159021889173733</v>
      </c>
      <c r="I632" s="74"/>
      <c r="J632" s="74">
        <v>0</v>
      </c>
      <c r="K632" s="74">
        <v>1.9151093541202675</v>
      </c>
      <c r="L632" s="74">
        <v>0</v>
      </c>
      <c r="M632" s="74">
        <v>0</v>
      </c>
      <c r="N632" s="74">
        <v>6.3160141579767751E-2</v>
      </c>
    </row>
    <row r="633" spans="1:14" x14ac:dyDescent="0.25">
      <c r="A633" t="e">
        <f>VLOOKUP(VALUE(RIGHT(B633,4)),'Waste Lookups'!$B$1:$C$295,2,FALSE)</f>
        <v>#N/A</v>
      </c>
      <c r="B633" s="74" t="s">
        <v>2028</v>
      </c>
      <c r="C633" s="74" t="s">
        <v>2029</v>
      </c>
      <c r="D633" s="74">
        <v>1.3977272727272727</v>
      </c>
      <c r="E633" s="74">
        <v>0</v>
      </c>
      <c r="F633" s="74">
        <v>0.65372727272727271</v>
      </c>
      <c r="G633" s="74">
        <v>0</v>
      </c>
      <c r="H633" s="74">
        <v>0</v>
      </c>
      <c r="I633" s="74"/>
      <c r="J633" s="74">
        <v>1.5929302966617933</v>
      </c>
      <c r="K633" s="74">
        <v>0</v>
      </c>
      <c r="L633" s="74">
        <v>0.74502515533625735</v>
      </c>
      <c r="M633" s="74">
        <v>0</v>
      </c>
      <c r="N633" s="74">
        <v>0</v>
      </c>
    </row>
    <row r="634" spans="1:14" x14ac:dyDescent="0.25">
      <c r="A634" t="e">
        <f>VLOOKUP(VALUE(RIGHT(B634,4)),'Waste Lookups'!$B$1:$C$295,2,FALSE)</f>
        <v>#N/A</v>
      </c>
      <c r="B634" s="74" t="s">
        <v>2030</v>
      </c>
      <c r="C634" s="74" t="s">
        <v>2031</v>
      </c>
      <c r="D634" s="74">
        <v>3.8634848484848487</v>
      </c>
      <c r="E634" s="74">
        <v>14.549339999999999</v>
      </c>
      <c r="F634" s="74">
        <v>0</v>
      </c>
      <c r="G634" s="74">
        <v>0</v>
      </c>
      <c r="H634" s="74">
        <v>0</v>
      </c>
      <c r="I634" s="74"/>
      <c r="J634" s="74">
        <v>2.174065625885925</v>
      </c>
      <c r="K634" s="74">
        <v>8.1872250607458685</v>
      </c>
      <c r="L634" s="74">
        <v>0</v>
      </c>
      <c r="M634" s="74">
        <v>0</v>
      </c>
      <c r="N634" s="74">
        <v>0</v>
      </c>
    </row>
    <row r="635" spans="1:14" x14ac:dyDescent="0.25">
      <c r="A635" t="e">
        <f>VLOOKUP(VALUE(RIGHT(B635,4)),'Waste Lookups'!$B$1:$C$295,2,FALSE)</f>
        <v>#N/A</v>
      </c>
      <c r="B635" s="74" t="s">
        <v>2032</v>
      </c>
      <c r="C635" s="74" t="s">
        <v>2033</v>
      </c>
      <c r="D635" s="74">
        <v>0</v>
      </c>
      <c r="E635" s="74">
        <v>0</v>
      </c>
      <c r="F635" s="74">
        <v>0</v>
      </c>
      <c r="G635" s="74">
        <v>0</v>
      </c>
      <c r="H635" s="74">
        <v>0</v>
      </c>
      <c r="I635" s="74"/>
      <c r="J635" s="74">
        <v>0</v>
      </c>
      <c r="K635" s="74">
        <v>0</v>
      </c>
      <c r="L635" s="74">
        <v>0</v>
      </c>
      <c r="M635" s="74">
        <v>0</v>
      </c>
      <c r="N635" s="74">
        <v>0</v>
      </c>
    </row>
    <row r="636" spans="1:14" x14ac:dyDescent="0.25">
      <c r="A636" t="e">
        <f>VLOOKUP(VALUE(RIGHT(B636,4)),'Waste Lookups'!$B$1:$C$295,2,FALSE)</f>
        <v>#N/A</v>
      </c>
      <c r="B636" s="74" t="s">
        <v>2034</v>
      </c>
      <c r="C636" s="74" t="s">
        <v>2035</v>
      </c>
      <c r="D636" s="74">
        <v>2.5529696969696971</v>
      </c>
      <c r="E636" s="74">
        <v>7.2914399999999997</v>
      </c>
      <c r="F636" s="74">
        <v>0</v>
      </c>
      <c r="G636" s="74">
        <v>0</v>
      </c>
      <c r="H636" s="74">
        <v>0</v>
      </c>
      <c r="I636" s="74"/>
      <c r="J636" s="74">
        <v>2.4626058863423808</v>
      </c>
      <c r="K636" s="74">
        <v>7.0333553450420849</v>
      </c>
      <c r="L636" s="74">
        <v>0</v>
      </c>
      <c r="M636" s="74">
        <v>0</v>
      </c>
      <c r="N636" s="74">
        <v>0</v>
      </c>
    </row>
    <row r="637" spans="1:14" x14ac:dyDescent="0.25">
      <c r="A637" t="e">
        <f>VLOOKUP(VALUE(RIGHT(B637,4)),'Waste Lookups'!$B$1:$C$295,2,FALSE)</f>
        <v>#N/A</v>
      </c>
      <c r="B637" s="74" t="s">
        <v>2036</v>
      </c>
      <c r="C637" s="74" t="s">
        <v>2037</v>
      </c>
      <c r="D637" s="74">
        <v>1.1449090909090907</v>
      </c>
      <c r="E637" s="74">
        <v>4.07592</v>
      </c>
      <c r="F637" s="74">
        <v>0</v>
      </c>
      <c r="G637" s="74">
        <v>0</v>
      </c>
      <c r="H637" s="74">
        <v>0</v>
      </c>
      <c r="I637" s="74"/>
      <c r="J637" s="74">
        <v>0.65588537941994429</v>
      </c>
      <c r="K637" s="74">
        <v>2.3349769487485101</v>
      </c>
      <c r="L637" s="74">
        <v>0</v>
      </c>
      <c r="M637" s="74">
        <v>0</v>
      </c>
      <c r="N637" s="74">
        <v>0</v>
      </c>
    </row>
    <row r="638" spans="1:14" x14ac:dyDescent="0.25">
      <c r="A638" t="e">
        <f>VLOOKUP(VALUE(RIGHT(B638,4)),'Waste Lookups'!$B$1:$C$295,2,FALSE)</f>
        <v>#N/A</v>
      </c>
      <c r="B638" s="74" t="s">
        <v>2038</v>
      </c>
      <c r="C638" s="74" t="s">
        <v>2039</v>
      </c>
      <c r="D638" s="74">
        <v>2.4613030303030303</v>
      </c>
      <c r="E638" s="74">
        <v>1.8228599999999997</v>
      </c>
      <c r="F638" s="74">
        <v>0</v>
      </c>
      <c r="G638" s="74">
        <v>0</v>
      </c>
      <c r="H638" s="74">
        <v>0</v>
      </c>
      <c r="I638" s="74"/>
      <c r="J638" s="74">
        <v>2.6000900368465492</v>
      </c>
      <c r="K638" s="74">
        <v>1.9256467270438336</v>
      </c>
      <c r="L638" s="74">
        <v>0</v>
      </c>
      <c r="M638" s="74">
        <v>0</v>
      </c>
      <c r="N638" s="74">
        <v>0</v>
      </c>
    </row>
    <row r="639" spans="1:14" x14ac:dyDescent="0.25">
      <c r="A639" t="e">
        <f>VLOOKUP(VALUE(RIGHT(B639,4)),'Waste Lookups'!$B$1:$C$295,2,FALSE)</f>
        <v>#N/A</v>
      </c>
      <c r="B639" s="74" t="s">
        <v>2040</v>
      </c>
      <c r="C639" s="74" t="s">
        <v>2041</v>
      </c>
      <c r="D639" s="74">
        <v>2.8529696969696969</v>
      </c>
      <c r="E639" s="74">
        <v>3.1103999999999998</v>
      </c>
      <c r="F639" s="74">
        <v>0</v>
      </c>
      <c r="G639" s="74">
        <v>0</v>
      </c>
      <c r="H639" s="74">
        <v>0</v>
      </c>
      <c r="I639" s="74"/>
      <c r="J639" s="74">
        <v>2.5587216133441713</v>
      </c>
      <c r="K639" s="74">
        <v>2.7896012055785406</v>
      </c>
      <c r="L639" s="74">
        <v>0</v>
      </c>
      <c r="M639" s="74">
        <v>0</v>
      </c>
      <c r="N639" s="74">
        <v>0</v>
      </c>
    </row>
    <row r="640" spans="1:14" x14ac:dyDescent="0.25">
      <c r="A640" t="e">
        <f>VLOOKUP(VALUE(RIGHT(B640,4)),'Waste Lookups'!$B$1:$C$295,2,FALSE)</f>
        <v>#N/A</v>
      </c>
      <c r="B640" s="74" t="s">
        <v>2042</v>
      </c>
      <c r="C640" s="74" t="s">
        <v>2043</v>
      </c>
      <c r="D640" s="74">
        <v>0</v>
      </c>
      <c r="E640" s="74">
        <v>1.248</v>
      </c>
      <c r="F640" s="74">
        <v>0</v>
      </c>
      <c r="G640" s="74">
        <v>0</v>
      </c>
      <c r="H640" s="74">
        <v>0</v>
      </c>
      <c r="I640" s="74"/>
      <c r="J640" s="74">
        <v>0</v>
      </c>
      <c r="K640" s="74">
        <v>1.1439999999999999</v>
      </c>
      <c r="L640" s="74">
        <v>0</v>
      </c>
      <c r="M640" s="74">
        <v>0</v>
      </c>
      <c r="N640" s="74">
        <v>0</v>
      </c>
    </row>
    <row r="641" spans="1:14" x14ac:dyDescent="0.25">
      <c r="A641" t="e">
        <f>VLOOKUP(VALUE(RIGHT(B641,4)),'Waste Lookups'!$B$1:$C$295,2,FALSE)</f>
        <v>#N/A</v>
      </c>
      <c r="B641" s="74" t="s">
        <v>2044</v>
      </c>
      <c r="C641" s="74" t="s">
        <v>2045</v>
      </c>
      <c r="D641" s="74">
        <v>7.8759393939393947</v>
      </c>
      <c r="E641" s="74">
        <v>0</v>
      </c>
      <c r="F641" s="74">
        <v>0</v>
      </c>
      <c r="G641" s="74">
        <v>0</v>
      </c>
      <c r="H641" s="74">
        <v>0</v>
      </c>
      <c r="I641" s="74"/>
      <c r="J641" s="74">
        <v>6.6885000000000012</v>
      </c>
      <c r="K641" s="74">
        <v>0</v>
      </c>
      <c r="L641" s="74">
        <v>0</v>
      </c>
      <c r="M641" s="74">
        <v>0</v>
      </c>
      <c r="N641" s="74">
        <v>0</v>
      </c>
    </row>
    <row r="642" spans="1:14" x14ac:dyDescent="0.25">
      <c r="A642" t="e">
        <f>VLOOKUP(VALUE(RIGHT(B642,4)),'Waste Lookups'!$B$1:$C$295,2,FALSE)</f>
        <v>#N/A</v>
      </c>
      <c r="B642" s="74" t="s">
        <v>2046</v>
      </c>
      <c r="C642" s="74" t="s">
        <v>2047</v>
      </c>
      <c r="D642" s="74">
        <v>0</v>
      </c>
      <c r="E642" s="74">
        <v>5.9436</v>
      </c>
      <c r="F642" s="74">
        <v>0</v>
      </c>
      <c r="G642" s="74">
        <v>0</v>
      </c>
      <c r="H642" s="74">
        <v>0.84811674225990918</v>
      </c>
      <c r="I642" s="74"/>
      <c r="J642" s="74">
        <v>0</v>
      </c>
      <c r="K642" s="74">
        <v>9.8302516844241499</v>
      </c>
      <c r="L642" s="74">
        <v>0</v>
      </c>
      <c r="M642" s="74">
        <v>0</v>
      </c>
      <c r="N642" s="74">
        <v>1.4027190649082699</v>
      </c>
    </row>
    <row r="643" spans="1:14" x14ac:dyDescent="0.25">
      <c r="A643" t="e">
        <f>VLOOKUP(VALUE(RIGHT(B643,4)),'Waste Lookups'!$B$1:$C$295,2,FALSE)</f>
        <v>#N/A</v>
      </c>
      <c r="B643" s="74" t="s">
        <v>2048</v>
      </c>
      <c r="C643" s="74" t="s">
        <v>2049</v>
      </c>
      <c r="D643" s="74">
        <v>2.5257878787878791</v>
      </c>
      <c r="E643" s="74">
        <v>0</v>
      </c>
      <c r="F643" s="74">
        <v>0</v>
      </c>
      <c r="G643" s="74">
        <v>0</v>
      </c>
      <c r="H643" s="74">
        <v>0</v>
      </c>
      <c r="I643" s="74"/>
      <c r="J643" s="74">
        <v>2.5977500000000004</v>
      </c>
      <c r="K643" s="74">
        <v>0</v>
      </c>
      <c r="L643" s="74">
        <v>0</v>
      </c>
      <c r="M643" s="74">
        <v>0</v>
      </c>
      <c r="N643" s="74">
        <v>0</v>
      </c>
    </row>
    <row r="644" spans="1:14" x14ac:dyDescent="0.25">
      <c r="A644" t="e">
        <f>VLOOKUP(VALUE(RIGHT(B644,4)),'Waste Lookups'!$B$1:$C$295,2,FALSE)</f>
        <v>#N/A</v>
      </c>
      <c r="B644" s="74" t="s">
        <v>2050</v>
      </c>
      <c r="C644" s="74" t="s">
        <v>2051</v>
      </c>
      <c r="D644" s="74">
        <v>6.155939393939394</v>
      </c>
      <c r="E644" s="74">
        <v>7.2159599999999999</v>
      </c>
      <c r="F644" s="74">
        <v>0</v>
      </c>
      <c r="G644" s="74">
        <v>1.7662499999999999</v>
      </c>
      <c r="H644" s="74">
        <v>0</v>
      </c>
      <c r="I644" s="74"/>
      <c r="J644" s="74">
        <v>4.6550257314322749</v>
      </c>
      <c r="K644" s="74">
        <v>5.4565968453257216</v>
      </c>
      <c r="L644" s="74">
        <v>0</v>
      </c>
      <c r="M644" s="74">
        <v>1.3356108096575585</v>
      </c>
      <c r="N644" s="74">
        <v>0</v>
      </c>
    </row>
    <row r="645" spans="1:14" x14ac:dyDescent="0.25">
      <c r="A645" t="e">
        <f>VLOOKUP(VALUE(RIGHT(B645,4)),'Waste Lookups'!$B$1:$C$295,2,FALSE)</f>
        <v>#N/A</v>
      </c>
      <c r="B645" s="74" t="s">
        <v>2052</v>
      </c>
      <c r="C645" s="74" t="s">
        <v>2053</v>
      </c>
      <c r="D645" s="74">
        <v>7.7768787878787879</v>
      </c>
      <c r="E645" s="74">
        <v>8.5793400000000002</v>
      </c>
      <c r="F645" s="74">
        <v>0</v>
      </c>
      <c r="G645" s="74">
        <v>0</v>
      </c>
      <c r="H645" s="74">
        <v>0</v>
      </c>
      <c r="I645" s="74"/>
      <c r="J645" s="74">
        <v>4.6713828760446567</v>
      </c>
      <c r="K645" s="74">
        <v>5.1534019054315783</v>
      </c>
      <c r="L645" s="74">
        <v>0</v>
      </c>
      <c r="M645" s="74">
        <v>0</v>
      </c>
      <c r="N645" s="74">
        <v>0</v>
      </c>
    </row>
    <row r="646" spans="1:14" x14ac:dyDescent="0.25">
      <c r="A646" t="e">
        <f>VLOOKUP(VALUE(RIGHT(B646,4)),'Waste Lookups'!$B$1:$C$295,2,FALSE)</f>
        <v>#N/A</v>
      </c>
      <c r="B646" s="74" t="s">
        <v>2054</v>
      </c>
      <c r="C646" s="74" t="s">
        <v>2055</v>
      </c>
      <c r="D646" s="74">
        <v>3.4669090909090912</v>
      </c>
      <c r="E646" s="74">
        <v>3.99762</v>
      </c>
      <c r="F646" s="74">
        <v>0</v>
      </c>
      <c r="G646" s="74">
        <v>0</v>
      </c>
      <c r="H646" s="74">
        <v>0</v>
      </c>
      <c r="I646" s="74"/>
      <c r="J646" s="74">
        <v>1.5395749772143508</v>
      </c>
      <c r="K646" s="74">
        <v>1.7752515451155852</v>
      </c>
      <c r="L646" s="74">
        <v>0</v>
      </c>
      <c r="M646" s="74">
        <v>0</v>
      </c>
      <c r="N646" s="74">
        <v>0</v>
      </c>
    </row>
    <row r="647" spans="1:14" x14ac:dyDescent="0.25">
      <c r="A647" t="e">
        <f>VLOOKUP(VALUE(RIGHT(B647,4)),'Waste Lookups'!$B$1:$C$295,2,FALSE)</f>
        <v>#N/A</v>
      </c>
      <c r="B647" s="74" t="s">
        <v>2056</v>
      </c>
      <c r="C647" s="74" t="s">
        <v>2057</v>
      </c>
      <c r="D647" s="74">
        <v>10.199272727272728</v>
      </c>
      <c r="E647" s="74">
        <v>14.582879999999999</v>
      </c>
      <c r="F647" s="74">
        <v>0</v>
      </c>
      <c r="G647" s="74">
        <v>0</v>
      </c>
      <c r="H647" s="74">
        <v>0</v>
      </c>
      <c r="I647" s="74"/>
      <c r="J647" s="74">
        <v>9.5728628306166286</v>
      </c>
      <c r="K647" s="74">
        <v>13.687241595379069</v>
      </c>
      <c r="L647" s="74">
        <v>0</v>
      </c>
      <c r="M647" s="74">
        <v>0</v>
      </c>
      <c r="N647" s="74">
        <v>0</v>
      </c>
    </row>
    <row r="648" spans="1:14" x14ac:dyDescent="0.25">
      <c r="A648" t="e">
        <f>VLOOKUP(VALUE(RIGHT(B648,4)),'Waste Lookups'!$B$1:$C$295,2,FALSE)</f>
        <v>#N/A</v>
      </c>
      <c r="B648" s="74" t="s">
        <v>2058</v>
      </c>
      <c r="C648" s="74" t="s">
        <v>2059</v>
      </c>
      <c r="D648" s="74">
        <v>4.1043636363636367</v>
      </c>
      <c r="E648" s="74">
        <v>0</v>
      </c>
      <c r="F648" s="74">
        <v>0</v>
      </c>
      <c r="G648" s="74">
        <v>0</v>
      </c>
      <c r="H648" s="74">
        <v>0</v>
      </c>
      <c r="I648" s="74"/>
      <c r="J648" s="74">
        <v>3.8888888888888893</v>
      </c>
      <c r="K648" s="74">
        <v>0</v>
      </c>
      <c r="L648" s="74">
        <v>0</v>
      </c>
      <c r="M648" s="74">
        <v>0</v>
      </c>
      <c r="N648" s="74">
        <v>0</v>
      </c>
    </row>
    <row r="649" spans="1:14" x14ac:dyDescent="0.25">
      <c r="A649" t="e">
        <f>VLOOKUP(VALUE(RIGHT(B649,4)),'Waste Lookups'!$B$1:$C$295,2,FALSE)</f>
        <v>#N/A</v>
      </c>
      <c r="B649" s="74" t="s">
        <v>2060</v>
      </c>
      <c r="C649" s="74" t="s">
        <v>2061</v>
      </c>
      <c r="D649" s="74">
        <v>0.95496969696969691</v>
      </c>
      <c r="E649" s="74">
        <v>3.7949999999999999</v>
      </c>
      <c r="F649" s="74">
        <v>0</v>
      </c>
      <c r="G649" s="74">
        <v>0</v>
      </c>
      <c r="H649" s="74">
        <v>0</v>
      </c>
      <c r="I649" s="74"/>
      <c r="J649" s="74">
        <v>0.86341700083013229</v>
      </c>
      <c r="K649" s="74">
        <v>3.431174338356338</v>
      </c>
      <c r="L649" s="74">
        <v>0</v>
      </c>
      <c r="M649" s="74">
        <v>0</v>
      </c>
      <c r="N649" s="74">
        <v>0</v>
      </c>
    </row>
    <row r="650" spans="1:14" x14ac:dyDescent="0.25">
      <c r="A650" t="e">
        <f>VLOOKUP(VALUE(RIGHT(B650,4)),'Waste Lookups'!$B$1:$C$295,2,FALSE)</f>
        <v>#N/A</v>
      </c>
      <c r="B650" s="74" t="s">
        <v>2062</v>
      </c>
      <c r="C650" s="74" t="s">
        <v>2063</v>
      </c>
      <c r="D650" s="74">
        <v>0.85663636363636364</v>
      </c>
      <c r="E650" s="74">
        <v>0</v>
      </c>
      <c r="F650" s="74">
        <v>0.43007272727272733</v>
      </c>
      <c r="G650" s="74">
        <v>0</v>
      </c>
      <c r="H650" s="74">
        <v>0</v>
      </c>
      <c r="I650" s="74"/>
      <c r="J650" s="74">
        <v>1.6080664156539488</v>
      </c>
      <c r="K650" s="74">
        <v>0</v>
      </c>
      <c r="L650" s="74">
        <v>0.80732681727429723</v>
      </c>
      <c r="M650" s="74">
        <v>0</v>
      </c>
      <c r="N650" s="74">
        <v>0</v>
      </c>
    </row>
    <row r="651" spans="1:14" x14ac:dyDescent="0.25">
      <c r="A651" t="e">
        <f>VLOOKUP(VALUE(RIGHT(B651,4)),'Waste Lookups'!$B$1:$C$295,2,FALSE)</f>
        <v>#N/A</v>
      </c>
      <c r="B651" s="74" t="s">
        <v>2064</v>
      </c>
      <c r="C651" s="74" t="s">
        <v>2065</v>
      </c>
      <c r="D651" s="74">
        <v>5.5103030303030307</v>
      </c>
      <c r="E651" s="74">
        <v>0</v>
      </c>
      <c r="F651" s="74">
        <v>5.9491818181818186</v>
      </c>
      <c r="G651" s="74">
        <v>0</v>
      </c>
      <c r="H651" s="74">
        <v>0</v>
      </c>
      <c r="I651" s="74"/>
      <c r="J651" s="74">
        <v>2.7856151682726145</v>
      </c>
      <c r="K651" s="74">
        <v>0</v>
      </c>
      <c r="L651" s="74">
        <v>3.0074808990364312</v>
      </c>
      <c r="M651" s="74">
        <v>0</v>
      </c>
      <c r="N651" s="74">
        <v>0</v>
      </c>
    </row>
    <row r="652" spans="1:14" x14ac:dyDescent="0.25">
      <c r="A652" t="e">
        <f>VLOOKUP(VALUE(RIGHT(B652,4)),'Waste Lookups'!$B$1:$C$295,2,FALSE)</f>
        <v>#N/A</v>
      </c>
      <c r="B652" s="74" t="s">
        <v>2066</v>
      </c>
      <c r="C652" s="74" t="s">
        <v>2067</v>
      </c>
      <c r="D652" s="74">
        <v>0</v>
      </c>
      <c r="E652" s="74">
        <v>11.011919999999998</v>
      </c>
      <c r="F652" s="74">
        <v>0</v>
      </c>
      <c r="G652" s="74">
        <v>0</v>
      </c>
      <c r="H652" s="74">
        <v>0</v>
      </c>
      <c r="I652" s="74"/>
      <c r="J652" s="74">
        <v>0</v>
      </c>
      <c r="K652" s="74">
        <v>9.3372949999999992</v>
      </c>
      <c r="L652" s="74">
        <v>0</v>
      </c>
      <c r="M652" s="74">
        <v>0</v>
      </c>
      <c r="N652" s="74">
        <v>0</v>
      </c>
    </row>
    <row r="653" spans="1:14" x14ac:dyDescent="0.25">
      <c r="A653" t="e">
        <f>VLOOKUP(VALUE(RIGHT(B653,4)),'Waste Lookups'!$B$1:$C$295,2,FALSE)</f>
        <v>#N/A</v>
      </c>
      <c r="B653" s="74" t="s">
        <v>2068</v>
      </c>
      <c r="C653" s="74" t="s">
        <v>2069</v>
      </c>
      <c r="D653" s="74">
        <v>4.4030909090909089</v>
      </c>
      <c r="E653" s="74">
        <v>6.3705599999999993</v>
      </c>
      <c r="F653" s="74">
        <v>0</v>
      </c>
      <c r="G653" s="74">
        <v>0</v>
      </c>
      <c r="H653" s="74">
        <v>0</v>
      </c>
      <c r="I653" s="74"/>
      <c r="J653" s="74">
        <v>3.3093523628309431</v>
      </c>
      <c r="K653" s="74">
        <v>4.7880973215947318</v>
      </c>
      <c r="L653" s="74">
        <v>0</v>
      </c>
      <c r="M653" s="74">
        <v>0</v>
      </c>
      <c r="N653" s="74">
        <v>0</v>
      </c>
    </row>
    <row r="654" spans="1:14" x14ac:dyDescent="0.25">
      <c r="A654" t="e">
        <f>VLOOKUP(VALUE(RIGHT(B654,4)),'Waste Lookups'!$B$1:$C$295,2,FALSE)</f>
        <v>#N/A</v>
      </c>
      <c r="B654" s="74" t="s">
        <v>2070</v>
      </c>
      <c r="C654" s="74" t="s">
        <v>2071</v>
      </c>
      <c r="D654" s="74">
        <v>0</v>
      </c>
      <c r="E654" s="74">
        <v>4.2831599999999996</v>
      </c>
      <c r="F654" s="74">
        <v>0</v>
      </c>
      <c r="G654" s="74">
        <v>0</v>
      </c>
      <c r="H654" s="74">
        <v>0</v>
      </c>
      <c r="I654" s="74"/>
      <c r="J654" s="74">
        <v>0</v>
      </c>
      <c r="K654" s="74">
        <v>0.68991999999999998</v>
      </c>
      <c r="L654" s="74">
        <v>0</v>
      </c>
      <c r="M654" s="74">
        <v>0</v>
      </c>
      <c r="N654" s="74">
        <v>0</v>
      </c>
    </row>
    <row r="655" spans="1:14" x14ac:dyDescent="0.25">
      <c r="A655" t="e">
        <f>VLOOKUP(VALUE(RIGHT(B655,4)),'Waste Lookups'!$B$1:$C$295,2,FALSE)</f>
        <v>#N/A</v>
      </c>
      <c r="B655" s="74" t="s">
        <v>2072</v>
      </c>
      <c r="C655" s="74" t="s">
        <v>2073</v>
      </c>
      <c r="D655" s="74">
        <v>0</v>
      </c>
      <c r="E655" s="74">
        <v>4.6468800000000003</v>
      </c>
      <c r="F655" s="74">
        <v>0</v>
      </c>
      <c r="G655" s="74">
        <v>1.1358000000000001</v>
      </c>
      <c r="H655" s="74">
        <v>0</v>
      </c>
      <c r="I655" s="74"/>
      <c r="J655" s="74">
        <v>0</v>
      </c>
      <c r="K655" s="74">
        <v>4.1109962139716654</v>
      </c>
      <c r="L655" s="74">
        <v>0</v>
      </c>
      <c r="M655" s="74">
        <v>1.004818179042501</v>
      </c>
      <c r="N655" s="74">
        <v>0</v>
      </c>
    </row>
    <row r="656" spans="1:14" x14ac:dyDescent="0.25">
      <c r="A656" t="e">
        <f>VLOOKUP(VALUE(RIGHT(B656,4)),'Waste Lookups'!$B$1:$C$295,2,FALSE)</f>
        <v>#N/A</v>
      </c>
      <c r="B656" s="74" t="s">
        <v>2074</v>
      </c>
      <c r="C656" s="74" t="s">
        <v>2075</v>
      </c>
      <c r="D656" s="74">
        <v>0</v>
      </c>
      <c r="E656" s="74">
        <v>8.6687999999999992</v>
      </c>
      <c r="F656" s="74">
        <v>0</v>
      </c>
      <c r="G656" s="74">
        <v>0</v>
      </c>
      <c r="H656" s="74">
        <v>0</v>
      </c>
      <c r="I656" s="74"/>
      <c r="J656" s="74">
        <v>0</v>
      </c>
      <c r="K656" s="74">
        <v>12.375439999999999</v>
      </c>
      <c r="L656" s="74">
        <v>0</v>
      </c>
      <c r="M656" s="74">
        <v>0</v>
      </c>
      <c r="N656" s="74">
        <v>0</v>
      </c>
    </row>
    <row r="657" spans="1:14" x14ac:dyDescent="0.25">
      <c r="A657" t="str">
        <f>VLOOKUP(VALUE(RIGHT(B657,4)),'Waste Lookups'!$B$1:$C$295,2,FALSE)</f>
        <v>Omega Business Park</v>
      </c>
      <c r="B657" s="74" t="s">
        <v>756</v>
      </c>
      <c r="C657" s="74" t="s">
        <v>2076</v>
      </c>
      <c r="D657" s="74">
        <v>0</v>
      </c>
      <c r="E657" s="74">
        <v>19.165140000000001</v>
      </c>
      <c r="F657" s="74">
        <v>0</v>
      </c>
      <c r="G657" s="74">
        <v>0</v>
      </c>
      <c r="H657" s="74">
        <v>0</v>
      </c>
      <c r="I657" s="74"/>
      <c r="J657" s="74">
        <v>0</v>
      </c>
      <c r="K657" s="74">
        <v>1.9520050000000002</v>
      </c>
      <c r="L657" s="74">
        <v>0</v>
      </c>
      <c r="M657" s="74">
        <v>0</v>
      </c>
      <c r="N657" s="74">
        <v>0</v>
      </c>
    </row>
    <row r="658" spans="1:14" x14ac:dyDescent="0.25">
      <c r="A658" t="str">
        <f>VLOOKUP(VALUE(RIGHT(B658,4)),'Waste Lookups'!$B$1:$C$295,2,FALSE)</f>
        <v>Alpha Court</v>
      </c>
      <c r="B658" s="74" t="s">
        <v>723</v>
      </c>
      <c r="C658" s="74" t="s">
        <v>2077</v>
      </c>
      <c r="D658" s="74">
        <v>0</v>
      </c>
      <c r="E658" s="74">
        <v>32.442659999999997</v>
      </c>
      <c r="F658" s="74">
        <v>0</v>
      </c>
      <c r="G658" s="74">
        <v>0</v>
      </c>
      <c r="H658" s="74">
        <v>0</v>
      </c>
      <c r="I658" s="74"/>
      <c r="J658" s="74">
        <v>0</v>
      </c>
      <c r="K658" s="74">
        <v>3.3043449999999996</v>
      </c>
      <c r="L658" s="74">
        <v>0</v>
      </c>
      <c r="M658" s="74">
        <v>0</v>
      </c>
      <c r="N658" s="74">
        <v>0</v>
      </c>
    </row>
    <row r="659" spans="1:14" x14ac:dyDescent="0.25">
      <c r="A659" t="e">
        <f>VLOOKUP(VALUE(RIGHT(B659,4)),'Waste Lookups'!$B$1:$C$295,2,FALSE)</f>
        <v>#N/A</v>
      </c>
      <c r="B659" s="74" t="s">
        <v>2078</v>
      </c>
      <c r="C659" s="74" t="s">
        <v>2079</v>
      </c>
      <c r="D659" s="74">
        <v>1.682818181818182</v>
      </c>
      <c r="E659" s="74">
        <v>0.60839999999999994</v>
      </c>
      <c r="F659" s="74">
        <v>0</v>
      </c>
      <c r="G659" s="74">
        <v>0</v>
      </c>
      <c r="H659" s="74">
        <v>0</v>
      </c>
      <c r="I659" s="74"/>
      <c r="J659" s="74">
        <v>7.2467804120414776</v>
      </c>
      <c r="K659" s="74">
        <v>2.6199747841578729</v>
      </c>
      <c r="L659" s="74">
        <v>0</v>
      </c>
      <c r="M659" s="74">
        <v>0</v>
      </c>
      <c r="N659" s="74">
        <v>0</v>
      </c>
    </row>
    <row r="660" spans="1:14" x14ac:dyDescent="0.25">
      <c r="A660" t="e">
        <f>VLOOKUP(VALUE(RIGHT(B660,4)),'Waste Lookups'!$B$1:$C$295,2,FALSE)</f>
        <v>#N/A</v>
      </c>
      <c r="B660" s="74" t="s">
        <v>2080</v>
      </c>
      <c r="C660" s="74" t="s">
        <v>2081</v>
      </c>
      <c r="D660" s="74">
        <v>0</v>
      </c>
      <c r="E660" s="74">
        <v>0</v>
      </c>
      <c r="F660" s="74">
        <v>0</v>
      </c>
      <c r="G660" s="74">
        <v>0</v>
      </c>
      <c r="H660" s="74">
        <v>0</v>
      </c>
      <c r="I660" s="74"/>
      <c r="J660" s="74">
        <v>0</v>
      </c>
      <c r="K660" s="74">
        <v>0</v>
      </c>
      <c r="L660" s="74">
        <v>0</v>
      </c>
      <c r="M660" s="74">
        <v>0</v>
      </c>
      <c r="N660" s="74">
        <v>0</v>
      </c>
    </row>
    <row r="661" spans="1:14" x14ac:dyDescent="0.25">
      <c r="A661" t="str">
        <f>VLOOKUP(VALUE(RIGHT(B661,4)),'Waste Lookups'!$B$1:$C$295,2,FALSE)</f>
        <v>Triune Court</v>
      </c>
      <c r="B661" s="74" t="s">
        <v>749</v>
      </c>
      <c r="C661" s="74" t="s">
        <v>2082</v>
      </c>
      <c r="D661" s="74">
        <v>0</v>
      </c>
      <c r="E661" s="74">
        <v>32.442659999999997</v>
      </c>
      <c r="F661" s="74">
        <v>0</v>
      </c>
      <c r="G661" s="74">
        <v>0</v>
      </c>
      <c r="H661" s="74">
        <v>0</v>
      </c>
      <c r="I661" s="74"/>
      <c r="J661" s="74">
        <v>0</v>
      </c>
      <c r="K661" s="74">
        <v>3.3043449999999996</v>
      </c>
      <c r="L661" s="74">
        <v>0</v>
      </c>
      <c r="M661" s="74">
        <v>0</v>
      </c>
      <c r="N661" s="74">
        <v>0</v>
      </c>
    </row>
    <row r="662" spans="1:14" x14ac:dyDescent="0.25">
      <c r="A662" t="e">
        <f>VLOOKUP(VALUE(RIGHT(B662,4)),'Waste Lookups'!$B$1:$C$295,2,FALSE)</f>
        <v>#N/A</v>
      </c>
      <c r="B662" s="74" t="s">
        <v>2083</v>
      </c>
      <c r="C662" s="74" t="s">
        <v>2084</v>
      </c>
      <c r="D662" s="74">
        <v>5.3636363636363642E-2</v>
      </c>
      <c r="E662" s="74">
        <v>0</v>
      </c>
      <c r="F662" s="74">
        <v>0</v>
      </c>
      <c r="G662" s="74">
        <v>0</v>
      </c>
      <c r="H662" s="74">
        <v>0</v>
      </c>
      <c r="I662" s="74"/>
      <c r="J662" s="74">
        <v>0.89847222222222212</v>
      </c>
      <c r="K662" s="74">
        <v>0</v>
      </c>
      <c r="L662" s="74">
        <v>0</v>
      </c>
      <c r="M662" s="74">
        <v>0</v>
      </c>
      <c r="N662" s="74">
        <v>0</v>
      </c>
    </row>
    <row r="663" spans="1:14" x14ac:dyDescent="0.25">
      <c r="A663" t="str">
        <f>VLOOKUP(VALUE(RIGHT(B663,4)),'Waste Lookups'!$B$1:$C$295,2,FALSE)</f>
        <v>Hillder House</v>
      </c>
      <c r="B663" s="74" t="s">
        <v>730</v>
      </c>
      <c r="C663" s="74" t="s">
        <v>2085</v>
      </c>
      <c r="D663" s="74">
        <v>0</v>
      </c>
      <c r="E663" s="74">
        <v>0.38399999999999995</v>
      </c>
      <c r="F663" s="74">
        <v>0</v>
      </c>
      <c r="G663" s="74">
        <v>0</v>
      </c>
      <c r="H663" s="74">
        <v>0</v>
      </c>
      <c r="I663" s="74"/>
      <c r="J663" s="74">
        <v>0</v>
      </c>
      <c r="K663" s="74">
        <v>0</v>
      </c>
      <c r="L663" s="74">
        <v>0</v>
      </c>
      <c r="M663" s="74">
        <v>0</v>
      </c>
      <c r="N663" s="74">
        <v>0</v>
      </c>
    </row>
    <row r="664" spans="1:14" x14ac:dyDescent="0.25">
      <c r="A664" t="e">
        <f>VLOOKUP(VALUE(RIGHT(B664,4)),'Waste Lookups'!$B$1:$C$295,2,FALSE)</f>
        <v>#N/A</v>
      </c>
      <c r="B664" s="74" t="s">
        <v>2086</v>
      </c>
      <c r="C664" s="74" t="s">
        <v>2087</v>
      </c>
      <c r="D664" s="74">
        <v>0.40763636363636363</v>
      </c>
      <c r="E664" s="74">
        <v>0.44604000000000005</v>
      </c>
      <c r="F664" s="74">
        <v>0</v>
      </c>
      <c r="G664" s="74">
        <v>0</v>
      </c>
      <c r="H664" s="74">
        <v>0</v>
      </c>
      <c r="I664" s="74"/>
      <c r="J664" s="74">
        <v>0</v>
      </c>
      <c r="K664" s="74">
        <v>0</v>
      </c>
      <c r="L664" s="74">
        <v>0</v>
      </c>
      <c r="M664" s="74">
        <v>0</v>
      </c>
      <c r="N664" s="74">
        <v>0</v>
      </c>
    </row>
    <row r="665" spans="1:14" x14ac:dyDescent="0.25">
      <c r="A665" t="e">
        <f>VLOOKUP(VALUE(RIGHT(B665,4)),'Waste Lookups'!$B$1:$C$295,2,FALSE)</f>
        <v>#N/A</v>
      </c>
      <c r="B665" s="74" t="s">
        <v>2088</v>
      </c>
      <c r="C665" s="74" t="s">
        <v>2089</v>
      </c>
      <c r="D665" s="74">
        <v>0</v>
      </c>
      <c r="E665" s="74">
        <v>10.444739999999999</v>
      </c>
      <c r="F665" s="74">
        <v>0</v>
      </c>
      <c r="G665" s="74">
        <v>0</v>
      </c>
      <c r="H665" s="74">
        <v>1.9196592388089133</v>
      </c>
      <c r="I665" s="74"/>
      <c r="J665" s="74">
        <v>0</v>
      </c>
      <c r="K665" s="74">
        <v>20.915879491626715</v>
      </c>
      <c r="L665" s="74">
        <v>0</v>
      </c>
      <c r="M665" s="74">
        <v>0</v>
      </c>
      <c r="N665" s="74">
        <v>3.8441704919332702</v>
      </c>
    </row>
    <row r="666" spans="1:14" x14ac:dyDescent="0.25">
      <c r="A666" t="str">
        <f>VLOOKUP(VALUE(RIGHT(B666,4)),'Waste Lookups'!$B$1:$C$295,2,FALSE)</f>
        <v>Retford Hospital</v>
      </c>
      <c r="B666" s="74" t="s">
        <v>758</v>
      </c>
      <c r="C666" s="74" t="s">
        <v>2090</v>
      </c>
      <c r="D666" s="74">
        <v>0</v>
      </c>
      <c r="E666" s="74">
        <v>35.186879999999995</v>
      </c>
      <c r="F666" s="74">
        <v>2.730709090909091</v>
      </c>
      <c r="G666" s="74">
        <v>0</v>
      </c>
      <c r="H666" s="74">
        <v>2.8726420824295014</v>
      </c>
      <c r="I666" s="74"/>
      <c r="J666" s="74">
        <v>0</v>
      </c>
      <c r="K666" s="74">
        <v>69.799937542501951</v>
      </c>
      <c r="L666" s="74">
        <v>5.4168861800818044</v>
      </c>
      <c r="M666" s="74">
        <v>0</v>
      </c>
      <c r="N666" s="74">
        <v>5.6984375407976469</v>
      </c>
    </row>
    <row r="667" spans="1:14" x14ac:dyDescent="0.25">
      <c r="A667" t="e">
        <f>VLOOKUP(VALUE(RIGHT(B667,4)),'Waste Lookups'!$B$1:$C$295,2,FALSE)</f>
        <v>#N/A</v>
      </c>
      <c r="B667" s="74" t="s">
        <v>2091</v>
      </c>
      <c r="C667" s="74" t="s">
        <v>2092</v>
      </c>
      <c r="D667" s="74">
        <v>0</v>
      </c>
      <c r="E667" s="74">
        <v>2.2952400000000002</v>
      </c>
      <c r="F667" s="74">
        <v>0</v>
      </c>
      <c r="G667" s="74">
        <v>0</v>
      </c>
      <c r="H667" s="74">
        <v>0.28637191875369744</v>
      </c>
      <c r="I667" s="74"/>
      <c r="J667" s="74">
        <v>0</v>
      </c>
      <c r="K667" s="74">
        <v>0</v>
      </c>
      <c r="L667" s="74">
        <v>0</v>
      </c>
      <c r="M667" s="74">
        <v>0</v>
      </c>
      <c r="N667" s="74">
        <v>0</v>
      </c>
    </row>
    <row r="668" spans="1:14" x14ac:dyDescent="0.25">
      <c r="A668" t="e">
        <f>VLOOKUP(VALUE(RIGHT(B668,4)),'Waste Lookups'!$B$1:$C$295,2,FALSE)</f>
        <v>#N/A</v>
      </c>
      <c r="B668" s="74" t="s">
        <v>2093</v>
      </c>
      <c r="C668" s="74" t="s">
        <v>2094</v>
      </c>
      <c r="D668" s="74">
        <v>0</v>
      </c>
      <c r="E668" s="74">
        <v>0.46679999999999999</v>
      </c>
      <c r="F668" s="74">
        <v>0</v>
      </c>
      <c r="G668" s="74">
        <v>0.73512</v>
      </c>
      <c r="H668" s="74">
        <v>1.7354588838493394</v>
      </c>
      <c r="I668" s="74"/>
      <c r="J668" s="74">
        <v>0</v>
      </c>
      <c r="K668" s="74">
        <v>1.9253873180534431</v>
      </c>
      <c r="L668" s="74">
        <v>0</v>
      </c>
      <c r="M668" s="74">
        <v>3.032113807299587</v>
      </c>
      <c r="N668" s="74">
        <v>7.1581630804770811</v>
      </c>
    </row>
    <row r="669" spans="1:14" x14ac:dyDescent="0.25">
      <c r="A669" t="e">
        <f>VLOOKUP(VALUE(RIGHT(B669,4)),'Waste Lookups'!$B$1:$C$295,2,FALSE)</f>
        <v>#N/A</v>
      </c>
      <c r="B669" s="74" t="s">
        <v>2095</v>
      </c>
      <c r="C669" s="74" t="s">
        <v>2096</v>
      </c>
      <c r="D669" s="74">
        <v>0</v>
      </c>
      <c r="E669" s="74">
        <v>1.488</v>
      </c>
      <c r="F669" s="74">
        <v>0</v>
      </c>
      <c r="G669" s="74">
        <v>0</v>
      </c>
      <c r="H669" s="74">
        <v>0</v>
      </c>
      <c r="I669" s="74"/>
      <c r="J669" s="74">
        <v>0</v>
      </c>
      <c r="K669" s="74">
        <v>1.1785399999999999</v>
      </c>
      <c r="L669" s="74">
        <v>0</v>
      </c>
      <c r="M669" s="74">
        <v>0</v>
      </c>
      <c r="N669" s="74">
        <v>0</v>
      </c>
    </row>
    <row r="670" spans="1:14" x14ac:dyDescent="0.25">
      <c r="A670" t="e">
        <f>VLOOKUP(VALUE(RIGHT(B670,4)),'Waste Lookups'!$B$1:$C$295,2,FALSE)</f>
        <v>#N/A</v>
      </c>
      <c r="B670" s="74" t="s">
        <v>2097</v>
      </c>
      <c r="C670" s="74" t="s">
        <v>2098</v>
      </c>
      <c r="D670" s="74">
        <v>0</v>
      </c>
      <c r="E670" s="74">
        <v>4.68</v>
      </c>
      <c r="F670" s="74">
        <v>0</v>
      </c>
      <c r="G670" s="74">
        <v>0</v>
      </c>
      <c r="H670" s="74">
        <v>0</v>
      </c>
      <c r="I670" s="74"/>
      <c r="J670" s="74">
        <v>0</v>
      </c>
      <c r="K670" s="74">
        <v>3.8224999999999998</v>
      </c>
      <c r="L670" s="74">
        <v>0</v>
      </c>
      <c r="M670" s="74">
        <v>0</v>
      </c>
      <c r="N670" s="74">
        <v>0</v>
      </c>
    </row>
    <row r="671" spans="1:14" x14ac:dyDescent="0.25">
      <c r="A671" t="e">
        <f>VLOOKUP(VALUE(RIGHT(B671,4)),'Waste Lookups'!$B$1:$C$295,2,FALSE)</f>
        <v>#N/A</v>
      </c>
      <c r="B671" s="74" t="s">
        <v>2099</v>
      </c>
      <c r="C671" s="74" t="s">
        <v>2100</v>
      </c>
      <c r="D671" s="74">
        <v>0</v>
      </c>
      <c r="E671" s="74">
        <v>9.36</v>
      </c>
      <c r="F671" s="74">
        <v>0</v>
      </c>
      <c r="G671" s="74">
        <v>0</v>
      </c>
      <c r="H671" s="74">
        <v>0</v>
      </c>
      <c r="I671" s="74"/>
      <c r="J671" s="74">
        <v>0</v>
      </c>
      <c r="K671" s="74">
        <v>7.6449999999999996</v>
      </c>
      <c r="L671" s="74">
        <v>0</v>
      </c>
      <c r="M671" s="74">
        <v>0</v>
      </c>
      <c r="N671" s="74">
        <v>0</v>
      </c>
    </row>
    <row r="672" spans="1:14" x14ac:dyDescent="0.25">
      <c r="A672" t="e">
        <f>VLOOKUP(VALUE(RIGHT(B672,4)),'Waste Lookups'!$B$1:$C$295,2,FALSE)</f>
        <v>#N/A</v>
      </c>
      <c r="B672" s="74" t="s">
        <v>2101</v>
      </c>
      <c r="C672" s="74" t="s">
        <v>2102</v>
      </c>
      <c r="D672" s="74">
        <v>0</v>
      </c>
      <c r="E672" s="74">
        <v>4.8542399999999999</v>
      </c>
      <c r="F672" s="74">
        <v>0</v>
      </c>
      <c r="G672" s="74">
        <v>0</v>
      </c>
      <c r="H672" s="74">
        <v>0</v>
      </c>
      <c r="I672" s="74"/>
      <c r="J672" s="74">
        <v>0</v>
      </c>
      <c r="K672" s="74">
        <v>3.9289800000000001</v>
      </c>
      <c r="L672" s="74">
        <v>0</v>
      </c>
      <c r="M672" s="74">
        <v>0</v>
      </c>
      <c r="N672" s="74">
        <v>0</v>
      </c>
    </row>
    <row r="673" spans="1:14" x14ac:dyDescent="0.25">
      <c r="A673" t="e">
        <f>VLOOKUP(VALUE(RIGHT(B673,4)),'Waste Lookups'!$B$1:$C$295,2,FALSE)</f>
        <v>#N/A</v>
      </c>
      <c r="B673" s="74" t="s">
        <v>2103</v>
      </c>
      <c r="C673" s="74" t="s">
        <v>2104</v>
      </c>
      <c r="D673" s="74">
        <v>0</v>
      </c>
      <c r="E673" s="74">
        <v>4.68</v>
      </c>
      <c r="F673" s="74">
        <v>0</v>
      </c>
      <c r="G673" s="74">
        <v>0</v>
      </c>
      <c r="H673" s="74">
        <v>0</v>
      </c>
      <c r="I673" s="74"/>
      <c r="J673" s="74">
        <v>0</v>
      </c>
      <c r="K673" s="74">
        <v>6.5924649999999998</v>
      </c>
      <c r="L673" s="74">
        <v>0</v>
      </c>
      <c r="M673" s="74">
        <v>0</v>
      </c>
      <c r="N673" s="74">
        <v>0</v>
      </c>
    </row>
    <row r="674" spans="1:14" x14ac:dyDescent="0.25">
      <c r="A674" t="e">
        <f>VLOOKUP(VALUE(RIGHT(B674,4)),'Waste Lookups'!$B$1:$C$295,2,FALSE)</f>
        <v>#N/A</v>
      </c>
      <c r="B674" s="74" t="s">
        <v>2105</v>
      </c>
      <c r="C674" s="74" t="s">
        <v>2106</v>
      </c>
      <c r="D674" s="74">
        <v>0</v>
      </c>
      <c r="E674" s="74">
        <v>9.36</v>
      </c>
      <c r="F674" s="74">
        <v>0</v>
      </c>
      <c r="G674" s="74">
        <v>0</v>
      </c>
      <c r="H674" s="74">
        <v>0</v>
      </c>
      <c r="I674" s="74"/>
      <c r="J674" s="74">
        <v>0</v>
      </c>
      <c r="K674" s="74">
        <v>7.6449999999999996</v>
      </c>
      <c r="L674" s="74">
        <v>0</v>
      </c>
      <c r="M674" s="74">
        <v>0</v>
      </c>
      <c r="N674" s="74">
        <v>0</v>
      </c>
    </row>
    <row r="675" spans="1:14" x14ac:dyDescent="0.25">
      <c r="A675" t="e">
        <f>VLOOKUP(VALUE(RIGHT(B675,4)),'Waste Lookups'!$B$1:$C$295,2,FALSE)</f>
        <v>#N/A</v>
      </c>
      <c r="B675" s="74" t="s">
        <v>2107</v>
      </c>
      <c r="C675" s="74" t="s">
        <v>2108</v>
      </c>
      <c r="D675" s="74">
        <v>0</v>
      </c>
      <c r="E675" s="74">
        <v>12.554880000000001</v>
      </c>
      <c r="F675" s="74">
        <v>0</v>
      </c>
      <c r="G675" s="74">
        <v>0</v>
      </c>
      <c r="H675" s="74">
        <v>1.8865296785643857</v>
      </c>
      <c r="I675" s="74"/>
      <c r="J675" s="74">
        <v>0</v>
      </c>
      <c r="K675" s="74">
        <v>6.6545258975376642</v>
      </c>
      <c r="L675" s="74">
        <v>0</v>
      </c>
      <c r="M675" s="74">
        <v>0</v>
      </c>
      <c r="N675" s="74">
        <v>0.99992676970867966</v>
      </c>
    </row>
    <row r="676" spans="1:14" x14ac:dyDescent="0.25">
      <c r="A676" t="e">
        <f>VLOOKUP(VALUE(RIGHT(B676,4)),'Waste Lookups'!$B$1:$C$295,2,FALSE)</f>
        <v>#N/A</v>
      </c>
      <c r="B676" s="74" t="s">
        <v>2109</v>
      </c>
      <c r="C676" s="74" t="s">
        <v>2110</v>
      </c>
      <c r="D676" s="74">
        <v>0</v>
      </c>
      <c r="E676" s="74">
        <v>1.488</v>
      </c>
      <c r="F676" s="74">
        <v>0</v>
      </c>
      <c r="G676" s="74">
        <v>0</v>
      </c>
      <c r="H676" s="74">
        <v>0</v>
      </c>
      <c r="I676" s="74"/>
      <c r="J676" s="74">
        <v>0</v>
      </c>
      <c r="K676" s="74">
        <v>1.1785399999999999</v>
      </c>
      <c r="L676" s="74">
        <v>0</v>
      </c>
      <c r="M676" s="74">
        <v>0</v>
      </c>
      <c r="N676" s="74">
        <v>0</v>
      </c>
    </row>
    <row r="677" spans="1:14" x14ac:dyDescent="0.25">
      <c r="A677" t="e">
        <f>VLOOKUP(VALUE(RIGHT(B677,4)),'Waste Lookups'!$B$1:$C$295,2,FALSE)</f>
        <v>#N/A</v>
      </c>
      <c r="B677" s="74" t="s">
        <v>2111</v>
      </c>
      <c r="C677" s="74" t="s">
        <v>2112</v>
      </c>
      <c r="D677" s="74">
        <v>0</v>
      </c>
      <c r="E677" s="74">
        <v>4.68</v>
      </c>
      <c r="F677" s="74">
        <v>0</v>
      </c>
      <c r="G677" s="74">
        <v>0</v>
      </c>
      <c r="H677" s="74">
        <v>0</v>
      </c>
      <c r="I677" s="74"/>
      <c r="J677" s="74">
        <v>0</v>
      </c>
      <c r="K677" s="74">
        <v>3.8224999999999998</v>
      </c>
      <c r="L677" s="74">
        <v>0</v>
      </c>
      <c r="M677" s="74">
        <v>0</v>
      </c>
      <c r="N677" s="74">
        <v>0</v>
      </c>
    </row>
    <row r="678" spans="1:14" x14ac:dyDescent="0.25">
      <c r="A678" t="str">
        <f>VLOOKUP(VALUE(RIGHT(B678,4)),'Waste Lookups'!$B$1:$C$295,2,FALSE)</f>
        <v>White Rose House</v>
      </c>
      <c r="B678" s="74" t="s">
        <v>731</v>
      </c>
      <c r="C678" s="74" t="s">
        <v>2113</v>
      </c>
      <c r="D678" s="74">
        <v>0</v>
      </c>
      <c r="E678" s="74">
        <v>9.6179999999999986</v>
      </c>
      <c r="F678" s="74">
        <v>0</v>
      </c>
      <c r="G678" s="74">
        <v>0</v>
      </c>
      <c r="H678" s="74">
        <v>0</v>
      </c>
      <c r="I678" s="74"/>
      <c r="J678" s="74">
        <v>0</v>
      </c>
      <c r="K678" s="74">
        <v>8.4611450000000001</v>
      </c>
      <c r="L678" s="74">
        <v>0</v>
      </c>
      <c r="M678" s="74">
        <v>0</v>
      </c>
      <c r="N678" s="74">
        <v>0</v>
      </c>
    </row>
    <row r="679" spans="1:14" x14ac:dyDescent="0.25">
      <c r="A679" t="e">
        <f>VLOOKUP(VALUE(RIGHT(B679,4)),'Waste Lookups'!$B$1:$C$295,2,FALSE)</f>
        <v>#N/A</v>
      </c>
      <c r="B679" s="74" t="s">
        <v>2114</v>
      </c>
      <c r="C679" s="74" t="s">
        <v>2115</v>
      </c>
      <c r="D679" s="74">
        <v>0</v>
      </c>
      <c r="E679" s="74">
        <v>32.599139999999998</v>
      </c>
      <c r="F679" s="74">
        <v>0</v>
      </c>
      <c r="G679" s="74">
        <v>0</v>
      </c>
      <c r="H679" s="74">
        <v>0</v>
      </c>
      <c r="I679" s="74"/>
      <c r="J679" s="74">
        <v>0</v>
      </c>
      <c r="K679" s="74">
        <v>0</v>
      </c>
      <c r="L679" s="74">
        <v>0</v>
      </c>
      <c r="M679" s="74">
        <v>0</v>
      </c>
      <c r="N679" s="74">
        <v>0</v>
      </c>
    </row>
    <row r="680" spans="1:14" x14ac:dyDescent="0.25">
      <c r="A680" t="e">
        <f>VLOOKUP(VALUE(RIGHT(B680,4)),'Waste Lookups'!$B$1:$C$295,2,FALSE)</f>
        <v>#N/A</v>
      </c>
      <c r="B680" s="74" t="s">
        <v>2116</v>
      </c>
      <c r="C680" s="74" t="s">
        <v>2117</v>
      </c>
      <c r="D680" s="74">
        <v>0</v>
      </c>
      <c r="E680" s="74">
        <v>5.4329399999999994</v>
      </c>
      <c r="F680" s="74">
        <v>0</v>
      </c>
      <c r="G680" s="74">
        <v>0</v>
      </c>
      <c r="H680" s="74">
        <v>0</v>
      </c>
      <c r="I680" s="74"/>
      <c r="J680" s="74">
        <v>0</v>
      </c>
      <c r="K680" s="74">
        <v>4.7251599999999998</v>
      </c>
      <c r="L680" s="74">
        <v>0</v>
      </c>
      <c r="M680" s="74">
        <v>0</v>
      </c>
      <c r="N680" s="74">
        <v>0</v>
      </c>
    </row>
    <row r="681" spans="1:14" x14ac:dyDescent="0.25">
      <c r="A681" t="str">
        <f>VLOOKUP(VALUE(RIGHT(B681,4)),'Waste Lookups'!$B$1:$C$295,2,FALSE)</f>
        <v>Oak House</v>
      </c>
      <c r="B681" s="74" t="s">
        <v>732</v>
      </c>
      <c r="C681" s="74" t="s">
        <v>2118</v>
      </c>
      <c r="D681" s="74">
        <v>0</v>
      </c>
      <c r="E681" s="74">
        <v>19.22334</v>
      </c>
      <c r="F681" s="74">
        <v>0</v>
      </c>
      <c r="G681" s="74">
        <v>9.1253699999999984</v>
      </c>
      <c r="H681" s="74">
        <v>5.1364070203115748</v>
      </c>
      <c r="I681" s="74"/>
      <c r="J681" s="74">
        <v>0</v>
      </c>
      <c r="K681" s="74">
        <v>18.580012878692418</v>
      </c>
      <c r="L681" s="74">
        <v>0</v>
      </c>
      <c r="M681" s="74">
        <v>8.8199809254184434</v>
      </c>
      <c r="N681" s="74">
        <v>4.9645123369609658</v>
      </c>
    </row>
    <row r="682" spans="1:14" x14ac:dyDescent="0.25">
      <c r="A682" t="e">
        <f>VLOOKUP(VALUE(RIGHT(B682,4)),'Waste Lookups'!$B$1:$C$295,2,FALSE)</f>
        <v>#N/A</v>
      </c>
      <c r="B682" s="74" t="s">
        <v>2119</v>
      </c>
      <c r="C682" s="74" t="s">
        <v>2120</v>
      </c>
      <c r="D682" s="74">
        <v>0</v>
      </c>
      <c r="E682" s="74">
        <v>17.662680000000002</v>
      </c>
      <c r="F682" s="74">
        <v>0</v>
      </c>
      <c r="G682" s="74">
        <v>0</v>
      </c>
      <c r="H682" s="74">
        <v>0</v>
      </c>
      <c r="I682" s="74"/>
      <c r="J682" s="74">
        <v>0</v>
      </c>
      <c r="K682" s="74">
        <v>40.417245000000001</v>
      </c>
      <c r="L682" s="74">
        <v>0</v>
      </c>
      <c r="M682" s="74">
        <v>0</v>
      </c>
      <c r="N682" s="74">
        <v>0</v>
      </c>
    </row>
    <row r="683" spans="1:14" x14ac:dyDescent="0.25">
      <c r="A683" t="e">
        <f>VLOOKUP(VALUE(RIGHT(B683,4)),'Waste Lookups'!$B$1:$C$295,2,FALSE)</f>
        <v>#N/A</v>
      </c>
      <c r="B683" s="74" t="s">
        <v>2121</v>
      </c>
      <c r="C683" s="74" t="s">
        <v>2122</v>
      </c>
      <c r="D683" s="74">
        <v>0</v>
      </c>
      <c r="E683" s="74">
        <v>8.7752999999999997</v>
      </c>
      <c r="F683" s="74">
        <v>0</v>
      </c>
      <c r="G683" s="74">
        <v>0</v>
      </c>
      <c r="H683" s="74">
        <v>0</v>
      </c>
      <c r="I683" s="74"/>
      <c r="J683" s="74">
        <v>0</v>
      </c>
      <c r="K683" s="74">
        <v>9.255510000000001</v>
      </c>
      <c r="L683" s="74">
        <v>0</v>
      </c>
      <c r="M683" s="74">
        <v>0</v>
      </c>
      <c r="N683" s="74">
        <v>0</v>
      </c>
    </row>
    <row r="684" spans="1:14" x14ac:dyDescent="0.25">
      <c r="A684" t="e">
        <f>VLOOKUP(VALUE(RIGHT(B684,4)),'Waste Lookups'!$B$1:$C$295,2,FALSE)</f>
        <v>#N/A</v>
      </c>
      <c r="B684" s="74" t="s">
        <v>2123</v>
      </c>
      <c r="C684" s="74" t="s">
        <v>2124</v>
      </c>
      <c r="D684" s="74">
        <v>0</v>
      </c>
      <c r="E684" s="74">
        <v>4.8293999999999997</v>
      </c>
      <c r="F684" s="74">
        <v>0</v>
      </c>
      <c r="G684" s="74">
        <v>0</v>
      </c>
      <c r="H684" s="74">
        <v>0</v>
      </c>
      <c r="I684" s="74"/>
      <c r="J684" s="74">
        <v>0</v>
      </c>
      <c r="K684" s="74">
        <v>4.6090549999999997</v>
      </c>
      <c r="L684" s="74">
        <v>0</v>
      </c>
      <c r="M684" s="74">
        <v>0</v>
      </c>
      <c r="N684" s="74">
        <v>0</v>
      </c>
    </row>
    <row r="685" spans="1:14" x14ac:dyDescent="0.25">
      <c r="A685" t="e">
        <f>VLOOKUP(VALUE(RIGHT(B685,4)),'Waste Lookups'!$B$1:$C$295,2,FALSE)</f>
        <v>#N/A</v>
      </c>
      <c r="B685" s="74" t="s">
        <v>2125</v>
      </c>
      <c r="C685" s="74" t="s">
        <v>2126</v>
      </c>
      <c r="D685" s="74">
        <v>0</v>
      </c>
      <c r="E685" s="74">
        <v>1.4126399999999999</v>
      </c>
      <c r="F685" s="74">
        <v>0</v>
      </c>
      <c r="G685" s="74">
        <v>0</v>
      </c>
      <c r="H685" s="74">
        <v>0</v>
      </c>
      <c r="I685" s="74"/>
      <c r="J685" s="74">
        <v>0</v>
      </c>
      <c r="K685" s="74">
        <v>0</v>
      </c>
      <c r="L685" s="74">
        <v>0</v>
      </c>
      <c r="M685" s="74">
        <v>0</v>
      </c>
      <c r="N685" s="74">
        <v>0</v>
      </c>
    </row>
    <row r="686" spans="1:14" x14ac:dyDescent="0.25">
      <c r="A686" t="e">
        <f>VLOOKUP(VALUE(RIGHT(B686,4)),'Waste Lookups'!$B$1:$C$295,2,FALSE)</f>
        <v>#N/A</v>
      </c>
      <c r="B686" s="74" t="s">
        <v>2127</v>
      </c>
      <c r="C686" s="74" t="s">
        <v>2128</v>
      </c>
      <c r="D686" s="74">
        <v>0</v>
      </c>
      <c r="E686" s="74">
        <v>42.429839999999999</v>
      </c>
      <c r="F686" s="74">
        <v>0</v>
      </c>
      <c r="G686" s="74">
        <v>4.39011</v>
      </c>
      <c r="H686" s="74">
        <v>0</v>
      </c>
      <c r="I686" s="74"/>
      <c r="J686" s="74">
        <v>0</v>
      </c>
      <c r="K686" s="74">
        <v>52.113221408783467</v>
      </c>
      <c r="L686" s="74">
        <v>0</v>
      </c>
      <c r="M686" s="74">
        <v>5.3920253868247991</v>
      </c>
      <c r="N686" s="74">
        <v>0</v>
      </c>
    </row>
    <row r="687" spans="1:14" x14ac:dyDescent="0.25">
      <c r="A687" t="e">
        <f>VLOOKUP(VALUE(RIGHT(B687,4)),'Waste Lookups'!$B$1:$C$295,2,FALSE)</f>
        <v>#N/A</v>
      </c>
      <c r="B687" s="74" t="s">
        <v>2129</v>
      </c>
      <c r="C687" s="74" t="s">
        <v>2130</v>
      </c>
      <c r="D687" s="74">
        <v>0</v>
      </c>
      <c r="E687" s="74">
        <v>5.4329999999999989</v>
      </c>
      <c r="F687" s="74">
        <v>0</v>
      </c>
      <c r="G687" s="74">
        <v>0</v>
      </c>
      <c r="H687" s="74">
        <v>0</v>
      </c>
      <c r="I687" s="74"/>
      <c r="J687" s="74">
        <v>0</v>
      </c>
      <c r="K687" s="74">
        <v>5.1719799999999996</v>
      </c>
      <c r="L687" s="74">
        <v>0</v>
      </c>
      <c r="M687" s="74">
        <v>0</v>
      </c>
      <c r="N687" s="74">
        <v>0</v>
      </c>
    </row>
    <row r="688" spans="1:14" x14ac:dyDescent="0.25">
      <c r="A688" t="e">
        <f>VLOOKUP(VALUE(RIGHT(B688,4)),'Waste Lookups'!$B$1:$C$295,2,FALSE)</f>
        <v>#N/A</v>
      </c>
      <c r="B688" s="74" t="s">
        <v>2131</v>
      </c>
      <c r="C688" s="74" t="s">
        <v>2132</v>
      </c>
      <c r="D688" s="74">
        <v>0</v>
      </c>
      <c r="E688" s="74">
        <v>10.51956</v>
      </c>
      <c r="F688" s="74">
        <v>0</v>
      </c>
      <c r="G688" s="74">
        <v>0</v>
      </c>
      <c r="H688" s="74">
        <v>0</v>
      </c>
      <c r="I688" s="74"/>
      <c r="J688" s="74">
        <v>0</v>
      </c>
      <c r="K688" s="74">
        <v>11.229239999999999</v>
      </c>
      <c r="L688" s="74">
        <v>0</v>
      </c>
      <c r="M688" s="74">
        <v>0</v>
      </c>
      <c r="N688" s="74">
        <v>0</v>
      </c>
    </row>
    <row r="689" spans="1:14" x14ac:dyDescent="0.25">
      <c r="A689" t="e">
        <f>VLOOKUP(VALUE(RIGHT(B689,4)),'Waste Lookups'!$B$1:$C$295,2,FALSE)</f>
        <v>#N/A</v>
      </c>
      <c r="B689" s="74" t="s">
        <v>2133</v>
      </c>
      <c r="C689" s="74" t="s">
        <v>2134</v>
      </c>
      <c r="D689" s="74">
        <v>0</v>
      </c>
      <c r="E689" s="74">
        <v>10.681199999999999</v>
      </c>
      <c r="F689" s="74">
        <v>0</v>
      </c>
      <c r="G689" s="74">
        <v>3.7610999999999999</v>
      </c>
      <c r="H689" s="74">
        <v>0</v>
      </c>
      <c r="I689" s="74"/>
      <c r="J689" s="74">
        <v>0</v>
      </c>
      <c r="K689" s="74">
        <v>9.337469308038763</v>
      </c>
      <c r="L689" s="74">
        <v>0</v>
      </c>
      <c r="M689" s="74">
        <v>3.287941037941859</v>
      </c>
      <c r="N689" s="74">
        <v>0</v>
      </c>
    </row>
    <row r="690" spans="1:14" x14ac:dyDescent="0.25">
      <c r="A690" t="e">
        <f>VLOOKUP(VALUE(RIGHT(B690,4)),'Waste Lookups'!$B$1:$C$295,2,FALSE)</f>
        <v>#N/A</v>
      </c>
      <c r="B690" s="74" t="s">
        <v>2135</v>
      </c>
      <c r="C690" s="74" t="s">
        <v>2136</v>
      </c>
      <c r="D690" s="74">
        <v>0</v>
      </c>
      <c r="E690" s="74">
        <v>0.186</v>
      </c>
      <c r="F690" s="74">
        <v>0</v>
      </c>
      <c r="G690" s="74">
        <v>0</v>
      </c>
      <c r="H690" s="74">
        <v>0</v>
      </c>
      <c r="I690" s="74"/>
      <c r="J690" s="74">
        <v>0</v>
      </c>
      <c r="K690" s="74">
        <v>0</v>
      </c>
      <c r="L690" s="74">
        <v>0</v>
      </c>
      <c r="M690" s="74">
        <v>0</v>
      </c>
      <c r="N690" s="74">
        <v>0</v>
      </c>
    </row>
    <row r="691" spans="1:14" x14ac:dyDescent="0.25">
      <c r="A691" t="e">
        <f>VLOOKUP(VALUE(RIGHT(B691,4)),'Waste Lookups'!$B$1:$C$295,2,FALSE)</f>
        <v>#N/A</v>
      </c>
      <c r="B691" s="74" t="s">
        <v>2137</v>
      </c>
      <c r="C691" s="74" t="s">
        <v>2138</v>
      </c>
      <c r="D691" s="74">
        <v>0</v>
      </c>
      <c r="E691" s="74">
        <v>0.11999999999999998</v>
      </c>
      <c r="F691" s="74">
        <v>0</v>
      </c>
      <c r="G691" s="74">
        <v>0</v>
      </c>
      <c r="H691" s="74">
        <v>0</v>
      </c>
      <c r="I691" s="74"/>
      <c r="J691" s="74">
        <v>0</v>
      </c>
      <c r="K691" s="74">
        <v>0</v>
      </c>
      <c r="L691" s="74">
        <v>0</v>
      </c>
      <c r="M691" s="74">
        <v>0</v>
      </c>
      <c r="N691" s="74">
        <v>0</v>
      </c>
    </row>
    <row r="692" spans="1:14" x14ac:dyDescent="0.25">
      <c r="A692" t="e">
        <f>VLOOKUP(VALUE(RIGHT(B692,4)),'Waste Lookups'!$B$1:$C$295,2,FALSE)</f>
        <v>#N/A</v>
      </c>
      <c r="B692" s="74" t="s">
        <v>2139</v>
      </c>
      <c r="C692" s="74" t="s">
        <v>2140</v>
      </c>
      <c r="D692" s="74">
        <v>0</v>
      </c>
      <c r="E692" s="74">
        <v>1.98</v>
      </c>
      <c r="F692" s="74">
        <v>0</v>
      </c>
      <c r="G692" s="74">
        <v>0</v>
      </c>
      <c r="H692" s="74">
        <v>0</v>
      </c>
      <c r="I692" s="74"/>
      <c r="J692" s="74">
        <v>0</v>
      </c>
      <c r="K692" s="74">
        <v>0</v>
      </c>
      <c r="L692" s="74">
        <v>0</v>
      </c>
      <c r="M692" s="74">
        <v>0</v>
      </c>
      <c r="N692" s="74">
        <v>0</v>
      </c>
    </row>
    <row r="693" spans="1:14" x14ac:dyDescent="0.25">
      <c r="A693" t="e">
        <f>VLOOKUP(VALUE(RIGHT(B693,4)),'Waste Lookups'!$B$1:$C$295,2,FALSE)</f>
        <v>#N/A</v>
      </c>
      <c r="B693" s="74" t="s">
        <v>2141</v>
      </c>
      <c r="C693" s="74" t="s">
        <v>2142</v>
      </c>
      <c r="D693" s="74">
        <v>0.13030303030303031</v>
      </c>
      <c r="E693" s="74">
        <v>2.028</v>
      </c>
      <c r="F693" s="74">
        <v>0</v>
      </c>
      <c r="G693" s="74">
        <v>0</v>
      </c>
      <c r="H693" s="74">
        <v>0</v>
      </c>
      <c r="I693" s="74"/>
      <c r="J693" s="74">
        <v>1.8145523476232137E-2</v>
      </c>
      <c r="K693" s="74">
        <v>0.28241186351706044</v>
      </c>
      <c r="L693" s="74">
        <v>0</v>
      </c>
      <c r="M693" s="74">
        <v>0</v>
      </c>
      <c r="N693" s="74">
        <v>0</v>
      </c>
    </row>
    <row r="694" spans="1:14" x14ac:dyDescent="0.25">
      <c r="A694" t="e">
        <f>VLOOKUP(VALUE(RIGHT(B694,4)),'Waste Lookups'!$B$1:$C$295,2,FALSE)</f>
        <v>#N/A</v>
      </c>
      <c r="B694" s="74" t="s">
        <v>2143</v>
      </c>
      <c r="C694" s="74" t="s">
        <v>2144</v>
      </c>
      <c r="D694" s="74">
        <v>0.11515151515151516</v>
      </c>
      <c r="E694" s="74">
        <v>2.3699999999999997</v>
      </c>
      <c r="F694" s="74">
        <v>0</v>
      </c>
      <c r="G694" s="74">
        <v>0</v>
      </c>
      <c r="H694" s="74">
        <v>0</v>
      </c>
      <c r="I694" s="74"/>
      <c r="J694" s="74">
        <v>0</v>
      </c>
      <c r="K694" s="74">
        <v>0</v>
      </c>
      <c r="L694" s="74">
        <v>0</v>
      </c>
      <c r="M694" s="74">
        <v>0</v>
      </c>
      <c r="N694" s="74">
        <v>0</v>
      </c>
    </row>
    <row r="695" spans="1:14" x14ac:dyDescent="0.25">
      <c r="A695" t="e">
        <f>VLOOKUP(VALUE(RIGHT(B695,4)),'Waste Lookups'!$B$1:$C$295,2,FALSE)</f>
        <v>#N/A</v>
      </c>
      <c r="B695" s="74" t="s">
        <v>2145</v>
      </c>
      <c r="C695" s="74" t="s">
        <v>2146</v>
      </c>
      <c r="D695" s="74">
        <v>0</v>
      </c>
      <c r="E695" s="74">
        <v>1.2427799999999998</v>
      </c>
      <c r="F695" s="74">
        <v>0</v>
      </c>
      <c r="G695" s="74">
        <v>0</v>
      </c>
      <c r="H695" s="74">
        <v>0</v>
      </c>
      <c r="I695" s="74"/>
      <c r="J695" s="74">
        <v>0</v>
      </c>
      <c r="K695" s="74">
        <v>1.5662899999999997</v>
      </c>
      <c r="L695" s="74">
        <v>0</v>
      </c>
      <c r="M695" s="74">
        <v>0</v>
      </c>
      <c r="N695" s="74">
        <v>0</v>
      </c>
    </row>
    <row r="696" spans="1:14" x14ac:dyDescent="0.25">
      <c r="A696" t="e">
        <f>VLOOKUP(VALUE(RIGHT(B696,4)),'Waste Lookups'!$B$1:$C$295,2,FALSE)</f>
        <v>#N/A</v>
      </c>
      <c r="B696" s="74" t="s">
        <v>2147</v>
      </c>
      <c r="C696" s="74" t="s">
        <v>2148</v>
      </c>
      <c r="D696" s="74">
        <v>0</v>
      </c>
      <c r="E696" s="74">
        <v>3.2729400000000002</v>
      </c>
      <c r="F696" s="74">
        <v>0</v>
      </c>
      <c r="G696" s="74">
        <v>0</v>
      </c>
      <c r="H696" s="74">
        <v>0</v>
      </c>
      <c r="I696" s="74"/>
      <c r="J696" s="74">
        <v>0</v>
      </c>
      <c r="K696" s="74">
        <v>0</v>
      </c>
      <c r="L696" s="74">
        <v>0</v>
      </c>
      <c r="M696" s="74">
        <v>0</v>
      </c>
      <c r="N696" s="74">
        <v>0</v>
      </c>
    </row>
    <row r="697" spans="1:14" x14ac:dyDescent="0.25">
      <c r="A697" t="e">
        <f>VLOOKUP(VALUE(RIGHT(B697,4)),'Waste Lookups'!$B$1:$C$295,2,FALSE)</f>
        <v>#N/A</v>
      </c>
      <c r="B697" s="74" t="s">
        <v>2149</v>
      </c>
      <c r="C697" s="74" t="s">
        <v>2150</v>
      </c>
      <c r="D697" s="74">
        <v>2.6501818181818182</v>
      </c>
      <c r="E697" s="74">
        <v>8.7278400000000005</v>
      </c>
      <c r="F697" s="74">
        <v>0</v>
      </c>
      <c r="G697" s="74">
        <v>0</v>
      </c>
      <c r="H697" s="74">
        <v>0</v>
      </c>
      <c r="I697" s="74"/>
      <c r="J697" s="74">
        <v>1.7341489152212488</v>
      </c>
      <c r="K697" s="74">
        <v>5.7110701478619275</v>
      </c>
      <c r="L697" s="74">
        <v>0</v>
      </c>
      <c r="M697" s="74">
        <v>0</v>
      </c>
      <c r="N697" s="74">
        <v>0</v>
      </c>
    </row>
    <row r="698" spans="1:14" x14ac:dyDescent="0.25">
      <c r="A698" t="e">
        <f>VLOOKUP(VALUE(RIGHT(B698,4)),'Waste Lookups'!$B$1:$C$295,2,FALSE)</f>
        <v>#N/A</v>
      </c>
      <c r="B698" s="74" t="s">
        <v>2151</v>
      </c>
      <c r="C698" s="74" t="s">
        <v>2152</v>
      </c>
      <c r="D698" s="74">
        <v>2.5675757575757574</v>
      </c>
      <c r="E698" s="74">
        <v>0</v>
      </c>
      <c r="F698" s="74">
        <v>0</v>
      </c>
      <c r="G698" s="74">
        <v>0</v>
      </c>
      <c r="H698" s="74">
        <v>0</v>
      </c>
      <c r="I698" s="74"/>
      <c r="J698" s="74">
        <v>3.2926944444444444</v>
      </c>
      <c r="K698" s="74">
        <v>0</v>
      </c>
      <c r="L698" s="74">
        <v>0</v>
      </c>
      <c r="M698" s="74">
        <v>0</v>
      </c>
      <c r="N698" s="74">
        <v>0</v>
      </c>
    </row>
    <row r="699" spans="1:14" x14ac:dyDescent="0.25">
      <c r="A699" t="str">
        <f>VLOOKUP(VALUE(RIGHT(B699,4)),'Waste Lookups'!$B$1:$C$295,2,FALSE)</f>
        <v>Douglas Mill (2nd Floor)</v>
      </c>
      <c r="B699" s="74" t="s">
        <v>740</v>
      </c>
      <c r="C699" s="74" t="s">
        <v>2153</v>
      </c>
      <c r="D699" s="74">
        <v>0</v>
      </c>
      <c r="E699" s="74">
        <v>31.503540000000001</v>
      </c>
      <c r="F699" s="74">
        <v>0</v>
      </c>
      <c r="G699" s="74">
        <v>4.1299200000000003</v>
      </c>
      <c r="H699" s="74">
        <v>16.215859593768489</v>
      </c>
      <c r="I699" s="74"/>
      <c r="J699" s="74">
        <v>0</v>
      </c>
      <c r="K699" s="74">
        <v>32.431503509052845</v>
      </c>
      <c r="L699" s="74">
        <v>0</v>
      </c>
      <c r="M699" s="74">
        <v>4.2515702988333226</v>
      </c>
      <c r="N699" s="74">
        <v>16.693511501171329</v>
      </c>
    </row>
    <row r="700" spans="1:14" x14ac:dyDescent="0.25">
      <c r="A700" t="e">
        <f>VLOOKUP(VALUE(RIGHT(B700,4)),'Waste Lookups'!$B$1:$C$295,2,FALSE)</f>
        <v>#N/A</v>
      </c>
      <c r="B700" s="74" t="s">
        <v>2154</v>
      </c>
      <c r="C700" s="74" t="s">
        <v>2155</v>
      </c>
      <c r="D700" s="74">
        <v>1.0090606060606062</v>
      </c>
      <c r="E700" s="74">
        <v>3.6366000000000005</v>
      </c>
      <c r="F700" s="74">
        <v>0</v>
      </c>
      <c r="G700" s="74">
        <v>0</v>
      </c>
      <c r="H700" s="74">
        <v>0</v>
      </c>
      <c r="I700" s="74"/>
      <c r="J700" s="74">
        <v>0.45649258975296414</v>
      </c>
      <c r="K700" s="74">
        <v>1.6451746722891309</v>
      </c>
      <c r="L700" s="74">
        <v>0</v>
      </c>
      <c r="M700" s="74">
        <v>0</v>
      </c>
      <c r="N700" s="74">
        <v>0</v>
      </c>
    </row>
    <row r="701" spans="1:14" x14ac:dyDescent="0.25">
      <c r="A701" t="e">
        <f>VLOOKUP(VALUE(RIGHT(B701,4)),'Waste Lookups'!$B$1:$C$295,2,FALSE)</f>
        <v>#N/A</v>
      </c>
      <c r="B701" s="74" t="s">
        <v>2156</v>
      </c>
      <c r="C701" s="74" t="s">
        <v>2157</v>
      </c>
      <c r="D701" s="74">
        <v>0</v>
      </c>
      <c r="E701" s="74">
        <v>9.8188200000000023</v>
      </c>
      <c r="F701" s="74">
        <v>0</v>
      </c>
      <c r="G701" s="74">
        <v>0</v>
      </c>
      <c r="H701" s="74">
        <v>0</v>
      </c>
      <c r="I701" s="74"/>
      <c r="J701" s="74">
        <v>0</v>
      </c>
      <c r="K701" s="74">
        <v>0</v>
      </c>
      <c r="L701" s="74">
        <v>0</v>
      </c>
      <c r="M701" s="74">
        <v>0</v>
      </c>
      <c r="N701" s="74">
        <v>0</v>
      </c>
    </row>
    <row r="702" spans="1:14" x14ac:dyDescent="0.25">
      <c r="A702" t="e">
        <f>VLOOKUP(VALUE(RIGHT(B702,4)),'Waste Lookups'!$B$1:$C$295,2,FALSE)</f>
        <v>#N/A</v>
      </c>
      <c r="B702" s="74" t="s">
        <v>2158</v>
      </c>
      <c r="C702" s="74" t="s">
        <v>2159</v>
      </c>
      <c r="D702" s="74">
        <v>0</v>
      </c>
      <c r="E702" s="74">
        <v>3.2729400000000002</v>
      </c>
      <c r="F702" s="74">
        <v>0</v>
      </c>
      <c r="G702" s="74">
        <v>0</v>
      </c>
      <c r="H702" s="74">
        <v>0</v>
      </c>
      <c r="I702" s="74"/>
      <c r="J702" s="74">
        <v>0</v>
      </c>
      <c r="K702" s="74">
        <v>0</v>
      </c>
      <c r="L702" s="74">
        <v>0</v>
      </c>
      <c r="M702" s="74">
        <v>0</v>
      </c>
      <c r="N702" s="74">
        <v>0</v>
      </c>
    </row>
    <row r="703" spans="1:14" x14ac:dyDescent="0.25">
      <c r="A703" t="e">
        <f>VLOOKUP(VALUE(RIGHT(B703,4)),'Waste Lookups'!$B$1:$C$295,2,FALSE)</f>
        <v>#N/A</v>
      </c>
      <c r="B703" s="74" t="s">
        <v>2160</v>
      </c>
      <c r="C703" s="74" t="s">
        <v>2161</v>
      </c>
      <c r="D703" s="74">
        <v>0.87954545454545452</v>
      </c>
      <c r="E703" s="74">
        <v>0</v>
      </c>
      <c r="F703" s="74">
        <v>0</v>
      </c>
      <c r="G703" s="74">
        <v>0</v>
      </c>
      <c r="H703" s="74">
        <v>0</v>
      </c>
      <c r="I703" s="74"/>
      <c r="J703" s="74">
        <v>1.1305555555555558</v>
      </c>
      <c r="K703" s="74">
        <v>0</v>
      </c>
      <c r="L703" s="74">
        <v>0</v>
      </c>
      <c r="M703" s="74">
        <v>0</v>
      </c>
      <c r="N703" s="74">
        <v>0</v>
      </c>
    </row>
    <row r="704" spans="1:14" x14ac:dyDescent="0.25">
      <c r="A704" t="e">
        <f>VLOOKUP(VALUE(RIGHT(B704,4)),'Waste Lookups'!$B$1:$C$295,2,FALSE)</f>
        <v>#N/A</v>
      </c>
      <c r="B704" s="74" t="s">
        <v>2162</v>
      </c>
      <c r="C704" s="74" t="s">
        <v>2163</v>
      </c>
      <c r="D704" s="74">
        <v>0</v>
      </c>
      <c r="E704" s="74">
        <v>0.99180000000000001</v>
      </c>
      <c r="F704" s="74">
        <v>0</v>
      </c>
      <c r="G704" s="74">
        <v>0</v>
      </c>
      <c r="H704" s="74">
        <v>0</v>
      </c>
      <c r="I704" s="74"/>
      <c r="J704" s="74">
        <v>0</v>
      </c>
      <c r="K704" s="74">
        <v>0</v>
      </c>
      <c r="L704" s="74">
        <v>0</v>
      </c>
      <c r="M704" s="74">
        <v>0</v>
      </c>
      <c r="N704" s="74">
        <v>0</v>
      </c>
    </row>
    <row r="705" spans="1:14" x14ac:dyDescent="0.25">
      <c r="A705" t="e">
        <f>VLOOKUP(VALUE(RIGHT(B705,4)),'Waste Lookups'!$B$1:$C$295,2,FALSE)</f>
        <v>#N/A</v>
      </c>
      <c r="B705" s="74" t="s">
        <v>2164</v>
      </c>
      <c r="C705" s="74" t="s">
        <v>2165</v>
      </c>
      <c r="D705" s="74">
        <v>1.5492424242424243</v>
      </c>
      <c r="E705" s="74">
        <v>2.6447999999999996</v>
      </c>
      <c r="F705" s="74">
        <v>0</v>
      </c>
      <c r="G705" s="74">
        <v>0</v>
      </c>
      <c r="H705" s="74">
        <v>0</v>
      </c>
      <c r="I705" s="74"/>
      <c r="J705" s="74">
        <v>0.8879727736638483</v>
      </c>
      <c r="K705" s="74">
        <v>1.5159089081455803</v>
      </c>
      <c r="L705" s="74">
        <v>0</v>
      </c>
      <c r="M705" s="74">
        <v>0</v>
      </c>
      <c r="N705" s="74">
        <v>0</v>
      </c>
    </row>
    <row r="706" spans="1:14" x14ac:dyDescent="0.25">
      <c r="A706" t="e">
        <f>VLOOKUP(VALUE(RIGHT(B706,4)),'Waste Lookups'!$B$1:$C$295,2,FALSE)</f>
        <v>#N/A</v>
      </c>
      <c r="B706" s="74" t="s">
        <v>2166</v>
      </c>
      <c r="C706" s="74" t="s">
        <v>2167</v>
      </c>
      <c r="D706" s="74">
        <v>3.0779090909090909</v>
      </c>
      <c r="E706" s="74">
        <v>0</v>
      </c>
      <c r="F706" s="74">
        <v>0</v>
      </c>
      <c r="G706" s="74">
        <v>0</v>
      </c>
      <c r="H706" s="74">
        <v>0</v>
      </c>
      <c r="I706" s="74"/>
      <c r="J706" s="74">
        <v>3.0521666666666665</v>
      </c>
      <c r="K706" s="74">
        <v>0</v>
      </c>
      <c r="L706" s="74">
        <v>0</v>
      </c>
      <c r="M706" s="74">
        <v>0</v>
      </c>
      <c r="N706" s="74">
        <v>0</v>
      </c>
    </row>
    <row r="707" spans="1:14" x14ac:dyDescent="0.25">
      <c r="A707" t="str">
        <f>VLOOKUP(VALUE(RIGHT(B707,4)),'Waste Lookups'!$B$1:$C$295,2,FALSE)</f>
        <v>Holmewood Health Centre</v>
      </c>
      <c r="B707" s="74" t="s">
        <v>741</v>
      </c>
      <c r="C707" s="74" t="s">
        <v>2168</v>
      </c>
      <c r="D707" s="74">
        <v>2.2069999999999999</v>
      </c>
      <c r="E707" s="74">
        <v>4.2845999999999993</v>
      </c>
      <c r="F707" s="74">
        <v>0</v>
      </c>
      <c r="G707" s="74">
        <v>2.4300000000000002</v>
      </c>
      <c r="H707" s="74">
        <v>0.4771540130151844</v>
      </c>
      <c r="I707" s="74"/>
      <c r="J707" s="74">
        <v>1.7357511119167819</v>
      </c>
      <c r="K707" s="74">
        <v>3.3697323126953522</v>
      </c>
      <c r="L707" s="74">
        <v>0</v>
      </c>
      <c r="M707" s="74">
        <v>1.9111351164285364</v>
      </c>
      <c r="N707" s="74">
        <v>0.37526987251774396</v>
      </c>
    </row>
    <row r="708" spans="1:14" x14ac:dyDescent="0.25">
      <c r="A708" t="e">
        <f>VLOOKUP(VALUE(RIGHT(B708,4)),'Waste Lookups'!$B$1:$C$295,2,FALSE)</f>
        <v>#N/A</v>
      </c>
      <c r="B708" s="74" t="s">
        <v>2169</v>
      </c>
      <c r="C708" s="74" t="s">
        <v>2170</v>
      </c>
      <c r="D708" s="74">
        <v>4.3018787878787883</v>
      </c>
      <c r="E708" s="74">
        <v>7.273200000000001</v>
      </c>
      <c r="F708" s="74">
        <v>0</v>
      </c>
      <c r="G708" s="74">
        <v>0</v>
      </c>
      <c r="H708" s="74">
        <v>0</v>
      </c>
      <c r="I708" s="74"/>
      <c r="J708" s="74">
        <v>2.8014510003217041</v>
      </c>
      <c r="K708" s="74">
        <v>4.7364220193630269</v>
      </c>
      <c r="L708" s="74">
        <v>0</v>
      </c>
      <c r="M708" s="74">
        <v>0</v>
      </c>
      <c r="N708" s="74">
        <v>0</v>
      </c>
    </row>
    <row r="709" spans="1:14" x14ac:dyDescent="0.25">
      <c r="A709" t="e">
        <f>VLOOKUP(VALUE(RIGHT(B709,4)),'Waste Lookups'!$B$1:$C$295,2,FALSE)</f>
        <v>#N/A</v>
      </c>
      <c r="B709" s="74" t="s">
        <v>2171</v>
      </c>
      <c r="C709" s="74" t="s">
        <v>2172</v>
      </c>
      <c r="D709" s="74">
        <v>3.816727272727273</v>
      </c>
      <c r="E709" s="74">
        <v>6.1822199999999992</v>
      </c>
      <c r="F709" s="74">
        <v>0</v>
      </c>
      <c r="G709" s="74">
        <v>0</v>
      </c>
      <c r="H709" s="74">
        <v>0</v>
      </c>
      <c r="I709" s="74"/>
      <c r="J709" s="74">
        <v>2.4671368493683103</v>
      </c>
      <c r="K709" s="74">
        <v>3.9961940382507453</v>
      </c>
      <c r="L709" s="74">
        <v>0</v>
      </c>
      <c r="M709" s="74">
        <v>0</v>
      </c>
      <c r="N709" s="74">
        <v>0</v>
      </c>
    </row>
    <row r="710" spans="1:14" x14ac:dyDescent="0.25">
      <c r="A710" t="e">
        <f>VLOOKUP(VALUE(RIGHT(B710,4)),'Waste Lookups'!$B$1:$C$295,2,FALSE)</f>
        <v>#N/A</v>
      </c>
      <c r="B710" s="74" t="s">
        <v>2173</v>
      </c>
      <c r="C710" s="74" t="s">
        <v>2174</v>
      </c>
      <c r="D710" s="74">
        <v>0</v>
      </c>
      <c r="E710" s="74">
        <v>2.39514</v>
      </c>
      <c r="F710" s="74">
        <v>0</v>
      </c>
      <c r="G710" s="74">
        <v>0</v>
      </c>
      <c r="H710" s="74">
        <v>0</v>
      </c>
      <c r="I710" s="74"/>
      <c r="J710" s="74">
        <v>0</v>
      </c>
      <c r="K710" s="74">
        <v>0</v>
      </c>
      <c r="L710" s="74">
        <v>0</v>
      </c>
      <c r="M710" s="74">
        <v>0</v>
      </c>
      <c r="N710" s="74">
        <v>0</v>
      </c>
    </row>
    <row r="711" spans="1:14" x14ac:dyDescent="0.25">
      <c r="A711" t="e">
        <f>VLOOKUP(VALUE(RIGHT(B711,4)),'Waste Lookups'!$B$1:$C$295,2,FALSE)</f>
        <v>#N/A</v>
      </c>
      <c r="B711" s="74" t="s">
        <v>2175</v>
      </c>
      <c r="C711" s="74" t="s">
        <v>2176</v>
      </c>
      <c r="D711" s="74">
        <v>2.8491818181818185</v>
      </c>
      <c r="E711" s="74">
        <v>3.2729400000000002</v>
      </c>
      <c r="F711" s="74">
        <v>0</v>
      </c>
      <c r="G711" s="74">
        <v>0</v>
      </c>
      <c r="H711" s="74">
        <v>0</v>
      </c>
      <c r="I711" s="74"/>
      <c r="J711" s="74">
        <v>4.5249273668658967</v>
      </c>
      <c r="K711" s="74">
        <v>5.1979188136055248</v>
      </c>
      <c r="L711" s="74">
        <v>0</v>
      </c>
      <c r="M711" s="74">
        <v>0</v>
      </c>
      <c r="N711" s="74">
        <v>0</v>
      </c>
    </row>
    <row r="712" spans="1:14" x14ac:dyDescent="0.25">
      <c r="A712" t="e">
        <f>VLOOKUP(VALUE(RIGHT(B712,4)),'Waste Lookups'!$B$1:$C$295,2,FALSE)</f>
        <v>#N/A</v>
      </c>
      <c r="B712" s="74" t="s">
        <v>2177</v>
      </c>
      <c r="C712" s="74" t="s">
        <v>2178</v>
      </c>
      <c r="D712" s="74">
        <v>0.35418181818181821</v>
      </c>
      <c r="E712" s="74">
        <v>3.5151599999999998</v>
      </c>
      <c r="F712" s="74">
        <v>0</v>
      </c>
      <c r="G712" s="74">
        <v>0</v>
      </c>
      <c r="H712" s="74">
        <v>0</v>
      </c>
      <c r="I712" s="74"/>
      <c r="J712" s="74">
        <v>8.1686417926022895E-2</v>
      </c>
      <c r="K712" s="74">
        <v>0.81071589250647458</v>
      </c>
      <c r="L712" s="74">
        <v>0</v>
      </c>
      <c r="M712" s="74">
        <v>0</v>
      </c>
      <c r="N712" s="74">
        <v>0</v>
      </c>
    </row>
    <row r="713" spans="1:14" x14ac:dyDescent="0.25">
      <c r="A713" t="e">
        <f>VLOOKUP(VALUE(RIGHT(B713,4)),'Waste Lookups'!$B$1:$C$295,2,FALSE)</f>
        <v>#N/A</v>
      </c>
      <c r="B713" s="74" t="s">
        <v>2179</v>
      </c>
      <c r="C713" s="74" t="s">
        <v>2180</v>
      </c>
      <c r="D713" s="74">
        <v>0</v>
      </c>
      <c r="E713" s="74">
        <v>3.6366000000000005</v>
      </c>
      <c r="F713" s="74">
        <v>0</v>
      </c>
      <c r="G713" s="74">
        <v>0</v>
      </c>
      <c r="H713" s="74">
        <v>0</v>
      </c>
      <c r="I713" s="74"/>
      <c r="J713" s="74">
        <v>0</v>
      </c>
      <c r="K713" s="74">
        <v>0</v>
      </c>
      <c r="L713" s="74">
        <v>0</v>
      </c>
      <c r="M713" s="74">
        <v>0</v>
      </c>
      <c r="N713" s="74">
        <v>0</v>
      </c>
    </row>
    <row r="714" spans="1:14" x14ac:dyDescent="0.25">
      <c r="A714" t="e">
        <f>VLOOKUP(VALUE(RIGHT(B714,4)),'Waste Lookups'!$B$1:$C$295,2,FALSE)</f>
        <v>#N/A</v>
      </c>
      <c r="B714" s="74" t="s">
        <v>2181</v>
      </c>
      <c r="C714" s="74" t="s">
        <v>2182</v>
      </c>
      <c r="D714" s="74">
        <v>3.649757575757576</v>
      </c>
      <c r="E714" s="74">
        <v>1.8955200000000003</v>
      </c>
      <c r="F714" s="74">
        <v>0</v>
      </c>
      <c r="G714" s="74">
        <v>0</v>
      </c>
      <c r="H714" s="74">
        <v>0</v>
      </c>
      <c r="I714" s="74"/>
      <c r="J714" s="74">
        <v>2.9951046863786317</v>
      </c>
      <c r="K714" s="74">
        <v>1.5555227209703091</v>
      </c>
      <c r="L714" s="74">
        <v>0</v>
      </c>
      <c r="M714" s="74">
        <v>0</v>
      </c>
      <c r="N714" s="74">
        <v>0</v>
      </c>
    </row>
    <row r="715" spans="1:14" x14ac:dyDescent="0.25">
      <c r="A715" t="e">
        <f>VLOOKUP(VALUE(RIGHT(B715,4)),'Waste Lookups'!$B$1:$C$295,2,FALSE)</f>
        <v>#N/A</v>
      </c>
      <c r="B715" s="74" t="s">
        <v>2183</v>
      </c>
      <c r="C715" s="74" t="s">
        <v>2184</v>
      </c>
      <c r="D715" s="74">
        <v>3.5530909090909089</v>
      </c>
      <c r="E715" s="74">
        <v>3.8525999999999998</v>
      </c>
      <c r="F715" s="74">
        <v>0</v>
      </c>
      <c r="G715" s="74">
        <v>0.64800000000000002</v>
      </c>
      <c r="H715" s="74">
        <v>0.159021889173733</v>
      </c>
      <c r="I715" s="74"/>
      <c r="J715" s="74">
        <v>2.7800762137083765</v>
      </c>
      <c r="K715" s="74">
        <v>3.0144237496229098</v>
      </c>
      <c r="L715" s="74">
        <v>0</v>
      </c>
      <c r="M715" s="74">
        <v>0.50702034723450284</v>
      </c>
      <c r="N715" s="74">
        <v>0.12442489732523569</v>
      </c>
    </row>
    <row r="716" spans="1:14" x14ac:dyDescent="0.25">
      <c r="A716" t="e">
        <f>VLOOKUP(VALUE(RIGHT(B716,4)),'Waste Lookups'!$B$1:$C$295,2,FALSE)</f>
        <v>#N/A</v>
      </c>
      <c r="B716" s="74" t="s">
        <v>2185</v>
      </c>
      <c r="C716" s="74" t="s">
        <v>2186</v>
      </c>
      <c r="D716" s="74">
        <v>0</v>
      </c>
      <c r="E716" s="74">
        <v>3.2729400000000002</v>
      </c>
      <c r="F716" s="74">
        <v>0</v>
      </c>
      <c r="G716" s="74">
        <v>0</v>
      </c>
      <c r="H716" s="74">
        <v>0</v>
      </c>
      <c r="I716" s="74"/>
      <c r="J716" s="74">
        <v>0</v>
      </c>
      <c r="K716" s="74">
        <v>0</v>
      </c>
      <c r="L716" s="74">
        <v>0</v>
      </c>
      <c r="M716" s="74">
        <v>0</v>
      </c>
      <c r="N716" s="74">
        <v>0</v>
      </c>
    </row>
    <row r="717" spans="1:14" x14ac:dyDescent="0.25">
      <c r="A717" t="e">
        <f>VLOOKUP(VALUE(RIGHT(B717,4)),'Waste Lookups'!$B$1:$C$295,2,FALSE)</f>
        <v>#N/A</v>
      </c>
      <c r="B717" s="74" t="s">
        <v>2187</v>
      </c>
      <c r="C717" s="74" t="s">
        <v>2188</v>
      </c>
      <c r="D717" s="74">
        <v>5.5095454545454547</v>
      </c>
      <c r="E717" s="74">
        <v>0</v>
      </c>
      <c r="F717" s="74">
        <v>0</v>
      </c>
      <c r="G717" s="74">
        <v>0</v>
      </c>
      <c r="H717" s="74">
        <v>0</v>
      </c>
      <c r="I717" s="74"/>
      <c r="J717" s="74">
        <v>1.2250833333333333</v>
      </c>
      <c r="K717" s="74">
        <v>0</v>
      </c>
      <c r="L717" s="74">
        <v>0</v>
      </c>
      <c r="M717" s="74">
        <v>0</v>
      </c>
      <c r="N717" s="74">
        <v>0</v>
      </c>
    </row>
    <row r="718" spans="1:14" x14ac:dyDescent="0.25">
      <c r="A718" t="e">
        <f>VLOOKUP(VALUE(RIGHT(B718,4)),'Waste Lookups'!$B$1:$C$295,2,FALSE)</f>
        <v>#N/A</v>
      </c>
      <c r="B718" s="74" t="s">
        <v>2189</v>
      </c>
      <c r="C718" s="74" t="s">
        <v>2190</v>
      </c>
      <c r="D718" s="74">
        <v>1.0873636363636363</v>
      </c>
      <c r="E718" s="74">
        <v>3.2729400000000002</v>
      </c>
      <c r="F718" s="74">
        <v>0</v>
      </c>
      <c r="G718" s="74">
        <v>0</v>
      </c>
      <c r="H718" s="74">
        <v>0</v>
      </c>
      <c r="I718" s="74"/>
      <c r="J718" s="74">
        <v>0.66170038813694265</v>
      </c>
      <c r="K718" s="74">
        <v>1.9917032314888539</v>
      </c>
      <c r="L718" s="74">
        <v>0</v>
      </c>
      <c r="M718" s="74">
        <v>0</v>
      </c>
      <c r="N718" s="74">
        <v>0</v>
      </c>
    </row>
    <row r="719" spans="1:14" x14ac:dyDescent="0.25">
      <c r="A719" t="e">
        <f>VLOOKUP(VALUE(RIGHT(B719,4)),'Waste Lookups'!$B$1:$C$295,2,FALSE)</f>
        <v>#N/A</v>
      </c>
      <c r="B719" s="74" t="s">
        <v>2191</v>
      </c>
      <c r="C719" s="74" t="s">
        <v>2192</v>
      </c>
      <c r="D719" s="74">
        <v>0.69066666666666665</v>
      </c>
      <c r="E719" s="74">
        <v>0</v>
      </c>
      <c r="F719" s="74">
        <v>0</v>
      </c>
      <c r="G719" s="74">
        <v>0</v>
      </c>
      <c r="H719" s="74">
        <v>0</v>
      </c>
      <c r="I719" s="74"/>
      <c r="J719" s="74">
        <v>0.66572222222222233</v>
      </c>
      <c r="K719" s="74">
        <v>0</v>
      </c>
      <c r="L719" s="74">
        <v>0</v>
      </c>
      <c r="M719" s="74">
        <v>0</v>
      </c>
      <c r="N719" s="74">
        <v>0</v>
      </c>
    </row>
    <row r="720" spans="1:14" x14ac:dyDescent="0.25">
      <c r="A720" t="e">
        <f>VLOOKUP(VALUE(RIGHT(B720,4)),'Waste Lookups'!$B$1:$C$295,2,FALSE)</f>
        <v>#N/A</v>
      </c>
      <c r="B720" s="74" t="s">
        <v>2193</v>
      </c>
      <c r="C720" s="74" t="s">
        <v>2194</v>
      </c>
      <c r="D720" s="74">
        <v>2.8203939393939397</v>
      </c>
      <c r="E720" s="74">
        <v>0</v>
      </c>
      <c r="F720" s="74">
        <v>0</v>
      </c>
      <c r="G720" s="74">
        <v>0</v>
      </c>
      <c r="H720" s="74">
        <v>0</v>
      </c>
      <c r="I720" s="74"/>
      <c r="J720" s="74">
        <v>5.2857500000000002</v>
      </c>
      <c r="K720" s="74">
        <v>0</v>
      </c>
      <c r="L720" s="74">
        <v>0</v>
      </c>
      <c r="M720" s="74">
        <v>0</v>
      </c>
      <c r="N720" s="74">
        <v>0</v>
      </c>
    </row>
    <row r="721" spans="1:14" x14ac:dyDescent="0.25">
      <c r="A721" t="e">
        <f>VLOOKUP(VALUE(RIGHT(B721,4)),'Waste Lookups'!$B$1:$C$295,2,FALSE)</f>
        <v>#N/A</v>
      </c>
      <c r="B721" s="74" t="s">
        <v>2195</v>
      </c>
      <c r="C721" s="74" t="s">
        <v>2196</v>
      </c>
      <c r="D721" s="74">
        <v>0</v>
      </c>
      <c r="E721" s="74">
        <v>7.6414799999999996</v>
      </c>
      <c r="F721" s="74">
        <v>0</v>
      </c>
      <c r="G721" s="74">
        <v>0</v>
      </c>
      <c r="H721" s="74">
        <v>0</v>
      </c>
      <c r="I721" s="74"/>
      <c r="J721" s="74">
        <v>0</v>
      </c>
      <c r="K721" s="74">
        <v>0</v>
      </c>
      <c r="L721" s="74">
        <v>0</v>
      </c>
      <c r="M721" s="74">
        <v>0</v>
      </c>
      <c r="N721" s="74">
        <v>0</v>
      </c>
    </row>
    <row r="722" spans="1:14" x14ac:dyDescent="0.25">
      <c r="A722" t="e">
        <f>VLOOKUP(VALUE(RIGHT(B722,4)),'Waste Lookups'!$B$1:$C$295,2,FALSE)</f>
        <v>#N/A</v>
      </c>
      <c r="B722" s="74" t="s">
        <v>2197</v>
      </c>
      <c r="C722" s="74" t="s">
        <v>2198</v>
      </c>
      <c r="D722" s="74">
        <v>3.0985454545454547</v>
      </c>
      <c r="E722" s="74">
        <v>13.55376</v>
      </c>
      <c r="F722" s="74">
        <v>0</v>
      </c>
      <c r="G722" s="74">
        <v>0</v>
      </c>
      <c r="H722" s="74">
        <v>0</v>
      </c>
      <c r="I722" s="74"/>
      <c r="J722" s="74">
        <v>0.8407403285509385</v>
      </c>
      <c r="K722" s="74">
        <v>3.677594149469142</v>
      </c>
      <c r="L722" s="74">
        <v>0</v>
      </c>
      <c r="M722" s="74">
        <v>0</v>
      </c>
      <c r="N722" s="74">
        <v>0</v>
      </c>
    </row>
    <row r="723" spans="1:14" x14ac:dyDescent="0.25">
      <c r="A723" t="e">
        <f>VLOOKUP(VALUE(RIGHT(B723,4)),'Waste Lookups'!$B$1:$C$295,2,FALSE)</f>
        <v>#N/A</v>
      </c>
      <c r="B723" s="74" t="s">
        <v>2199</v>
      </c>
      <c r="C723" s="74" t="s">
        <v>2200</v>
      </c>
      <c r="D723" s="74">
        <v>2.7163939393939391</v>
      </c>
      <c r="E723" s="74">
        <v>3.6366000000000005</v>
      </c>
      <c r="F723" s="74">
        <v>0</v>
      </c>
      <c r="G723" s="74">
        <v>0</v>
      </c>
      <c r="H723" s="74">
        <v>0</v>
      </c>
      <c r="I723" s="74"/>
      <c r="J723" s="74">
        <v>2.4826198908641022</v>
      </c>
      <c r="K723" s="74">
        <v>3.3236326160890775</v>
      </c>
      <c r="L723" s="74">
        <v>0</v>
      </c>
      <c r="M723" s="74">
        <v>0</v>
      </c>
      <c r="N723" s="74">
        <v>0</v>
      </c>
    </row>
    <row r="724" spans="1:14" x14ac:dyDescent="0.25">
      <c r="A724" t="e">
        <f>VLOOKUP(VALUE(RIGHT(B724,4)),'Waste Lookups'!$B$1:$C$295,2,FALSE)</f>
        <v>#N/A</v>
      </c>
      <c r="B724" s="74" t="s">
        <v>2201</v>
      </c>
      <c r="C724" s="74" t="s">
        <v>2202</v>
      </c>
      <c r="D724" s="74">
        <v>0</v>
      </c>
      <c r="E724" s="74">
        <v>12.111000000000001</v>
      </c>
      <c r="F724" s="74">
        <v>0</v>
      </c>
      <c r="G724" s="74">
        <v>0</v>
      </c>
      <c r="H724" s="74">
        <v>0</v>
      </c>
      <c r="I724" s="74"/>
      <c r="J724" s="74">
        <v>0</v>
      </c>
      <c r="K724" s="74">
        <v>7.7891000000000004</v>
      </c>
      <c r="L724" s="74">
        <v>0</v>
      </c>
      <c r="M724" s="74">
        <v>0</v>
      </c>
      <c r="N724" s="74">
        <v>0</v>
      </c>
    </row>
    <row r="725" spans="1:14" x14ac:dyDescent="0.25">
      <c r="A725" t="e">
        <f>VLOOKUP(VALUE(RIGHT(B725,4)),'Waste Lookups'!$B$1:$C$295,2,FALSE)</f>
        <v>#N/A</v>
      </c>
      <c r="B725" s="74" t="s">
        <v>2203</v>
      </c>
      <c r="C725" s="74" t="s">
        <v>2204</v>
      </c>
      <c r="D725" s="74">
        <v>0</v>
      </c>
      <c r="E725" s="74">
        <v>3.0431999999999997</v>
      </c>
      <c r="F725" s="74">
        <v>0</v>
      </c>
      <c r="G725" s="74">
        <v>0</v>
      </c>
      <c r="H725" s="74">
        <v>0</v>
      </c>
      <c r="I725" s="74"/>
      <c r="J725" s="74">
        <v>0</v>
      </c>
      <c r="K725" s="74">
        <v>4.3213500000000007</v>
      </c>
      <c r="L725" s="74">
        <v>0</v>
      </c>
      <c r="M725" s="74">
        <v>0</v>
      </c>
      <c r="N725" s="74">
        <v>0</v>
      </c>
    </row>
    <row r="726" spans="1:14" x14ac:dyDescent="0.25">
      <c r="A726" t="e">
        <f>VLOOKUP(VALUE(RIGHT(B726,4)),'Waste Lookups'!$B$1:$C$295,2,FALSE)</f>
        <v>#N/A</v>
      </c>
      <c r="B726" s="74" t="s">
        <v>2205</v>
      </c>
      <c r="C726" s="74" t="s">
        <v>2206</v>
      </c>
      <c r="D726" s="74">
        <v>0</v>
      </c>
      <c r="E726" s="74">
        <v>3.1631999999999998</v>
      </c>
      <c r="F726" s="74">
        <v>0</v>
      </c>
      <c r="G726" s="74">
        <v>0</v>
      </c>
      <c r="H726" s="74">
        <v>0</v>
      </c>
      <c r="I726" s="74"/>
      <c r="J726" s="74">
        <v>0</v>
      </c>
      <c r="K726" s="74">
        <v>2.0806499999999999</v>
      </c>
      <c r="L726" s="74">
        <v>0</v>
      </c>
      <c r="M726" s="74">
        <v>0</v>
      </c>
      <c r="N726" s="74">
        <v>0</v>
      </c>
    </row>
    <row r="727" spans="1:14" x14ac:dyDescent="0.25">
      <c r="A727" t="e">
        <f>VLOOKUP(VALUE(RIGHT(B727,4)),'Waste Lookups'!$B$1:$C$295,2,FALSE)</f>
        <v>#N/A</v>
      </c>
      <c r="B727" s="74" t="s">
        <v>2207</v>
      </c>
      <c r="C727" s="74" t="s">
        <v>2208</v>
      </c>
      <c r="D727" s="74">
        <v>0</v>
      </c>
      <c r="E727" s="74">
        <v>11.6676</v>
      </c>
      <c r="F727" s="74">
        <v>0</v>
      </c>
      <c r="G727" s="74">
        <v>0</v>
      </c>
      <c r="H727" s="74">
        <v>0</v>
      </c>
      <c r="I727" s="74"/>
      <c r="J727" s="74">
        <v>0</v>
      </c>
      <c r="K727" s="74">
        <v>10.2432</v>
      </c>
      <c r="L727" s="74">
        <v>0</v>
      </c>
      <c r="M727" s="74">
        <v>0</v>
      </c>
      <c r="N727" s="74">
        <v>0</v>
      </c>
    </row>
    <row r="728" spans="1:14" x14ac:dyDescent="0.25">
      <c r="A728" t="e">
        <f>VLOOKUP(VALUE(RIGHT(B728,4)),'Waste Lookups'!$B$1:$C$295,2,FALSE)</f>
        <v>#N/A</v>
      </c>
      <c r="B728" s="74" t="s">
        <v>2209</v>
      </c>
      <c r="C728" s="74" t="s">
        <v>2210</v>
      </c>
      <c r="D728" s="74">
        <v>0</v>
      </c>
      <c r="E728" s="74">
        <v>22.283999999999999</v>
      </c>
      <c r="F728" s="74">
        <v>0</v>
      </c>
      <c r="G728" s="74">
        <v>0</v>
      </c>
      <c r="H728" s="74">
        <v>0</v>
      </c>
      <c r="I728" s="74"/>
      <c r="J728" s="74">
        <v>0</v>
      </c>
      <c r="K728" s="74">
        <v>15.524849999999999</v>
      </c>
      <c r="L728" s="74">
        <v>0</v>
      </c>
      <c r="M728" s="74">
        <v>0</v>
      </c>
      <c r="N728" s="74">
        <v>0</v>
      </c>
    </row>
    <row r="729" spans="1:14" x14ac:dyDescent="0.25">
      <c r="A729" t="e">
        <f>VLOOKUP(VALUE(RIGHT(B729,4)),'Waste Lookups'!$B$1:$C$295,2,FALSE)</f>
        <v>#N/A</v>
      </c>
      <c r="B729" s="74" t="s">
        <v>2211</v>
      </c>
      <c r="C729" s="74" t="s">
        <v>2212</v>
      </c>
      <c r="D729" s="74">
        <v>0</v>
      </c>
      <c r="E729" s="74">
        <v>6.3335999999999997</v>
      </c>
      <c r="F729" s="74">
        <v>0</v>
      </c>
      <c r="G729" s="74">
        <v>0</v>
      </c>
      <c r="H729" s="74">
        <v>0</v>
      </c>
      <c r="I729" s="74"/>
      <c r="J729" s="74">
        <v>0</v>
      </c>
      <c r="K729" s="74">
        <v>4.1612999999999998</v>
      </c>
      <c r="L729" s="74">
        <v>0</v>
      </c>
      <c r="M729" s="74">
        <v>0</v>
      </c>
      <c r="N729" s="74">
        <v>0</v>
      </c>
    </row>
    <row r="730" spans="1:14" x14ac:dyDescent="0.25">
      <c r="A730" t="e">
        <f>VLOOKUP(VALUE(RIGHT(B730,4)),'Waste Lookups'!$B$1:$C$295,2,FALSE)</f>
        <v>#N/A</v>
      </c>
      <c r="B730" s="74" t="s">
        <v>2213</v>
      </c>
      <c r="C730" s="74" t="s">
        <v>2214</v>
      </c>
      <c r="D730" s="74">
        <v>0</v>
      </c>
      <c r="E730" s="74">
        <v>6.2099999999999991</v>
      </c>
      <c r="F730" s="74">
        <v>0</v>
      </c>
      <c r="G730" s="74">
        <v>0</v>
      </c>
      <c r="H730" s="74">
        <v>0</v>
      </c>
      <c r="I730" s="74"/>
      <c r="J730" s="74">
        <v>0</v>
      </c>
      <c r="K730" s="74">
        <v>4.1079499999999998</v>
      </c>
      <c r="L730" s="74">
        <v>0</v>
      </c>
      <c r="M730" s="74">
        <v>0</v>
      </c>
      <c r="N730" s="74">
        <v>0</v>
      </c>
    </row>
    <row r="731" spans="1:14" x14ac:dyDescent="0.25">
      <c r="A731" t="e">
        <f>VLOOKUP(VALUE(RIGHT(B731,4)),'Waste Lookups'!$B$1:$C$295,2,FALSE)</f>
        <v>#N/A</v>
      </c>
      <c r="B731" s="74" t="s">
        <v>2215</v>
      </c>
      <c r="C731" s="74" t="s">
        <v>2216</v>
      </c>
      <c r="D731" s="74">
        <v>0</v>
      </c>
      <c r="E731" s="74">
        <v>8.0285999999999991</v>
      </c>
      <c r="F731" s="74">
        <v>0</v>
      </c>
      <c r="G731" s="74">
        <v>0</v>
      </c>
      <c r="H731" s="74">
        <v>0</v>
      </c>
      <c r="I731" s="74"/>
      <c r="J731" s="74">
        <v>0</v>
      </c>
      <c r="K731" s="74">
        <v>5.3344499999999995</v>
      </c>
      <c r="L731" s="74">
        <v>0</v>
      </c>
      <c r="M731" s="74">
        <v>0</v>
      </c>
      <c r="N731" s="74">
        <v>0</v>
      </c>
    </row>
    <row r="732" spans="1:14" x14ac:dyDescent="0.25">
      <c r="A732" t="e">
        <f>VLOOKUP(VALUE(RIGHT(B732,4)),'Waste Lookups'!$B$1:$C$295,2,FALSE)</f>
        <v>#N/A</v>
      </c>
      <c r="B732" s="74" t="s">
        <v>2217</v>
      </c>
      <c r="C732" s="74" t="s">
        <v>2218</v>
      </c>
      <c r="D732" s="74">
        <v>0</v>
      </c>
      <c r="E732" s="74">
        <v>2.613</v>
      </c>
      <c r="F732" s="74">
        <v>0</v>
      </c>
      <c r="G732" s="74">
        <v>0</v>
      </c>
      <c r="H732" s="74">
        <v>0</v>
      </c>
      <c r="I732" s="74"/>
      <c r="J732" s="74">
        <v>0</v>
      </c>
      <c r="K732" s="74">
        <v>1.716</v>
      </c>
      <c r="L732" s="74">
        <v>0</v>
      </c>
      <c r="M732" s="74">
        <v>0</v>
      </c>
      <c r="N732" s="74">
        <v>0</v>
      </c>
    </row>
    <row r="733" spans="1:14" x14ac:dyDescent="0.25">
      <c r="A733" t="e">
        <f>VLOOKUP(VALUE(RIGHT(B733,4)),'Waste Lookups'!$B$1:$C$295,2,FALSE)</f>
        <v>#N/A</v>
      </c>
      <c r="B733" s="74" t="s">
        <v>2219</v>
      </c>
      <c r="C733" s="74" t="s">
        <v>2220</v>
      </c>
      <c r="D733" s="74">
        <v>0</v>
      </c>
      <c r="E733" s="74">
        <v>37.938600000000001</v>
      </c>
      <c r="F733" s="74">
        <v>0</v>
      </c>
      <c r="G733" s="74">
        <v>0</v>
      </c>
      <c r="H733" s="74">
        <v>0</v>
      </c>
      <c r="I733" s="74"/>
      <c r="J733" s="74">
        <v>0</v>
      </c>
      <c r="K733" s="74">
        <v>26.471499999999999</v>
      </c>
      <c r="L733" s="74">
        <v>0</v>
      </c>
      <c r="M733" s="74">
        <v>0</v>
      </c>
      <c r="N733" s="74">
        <v>0</v>
      </c>
    </row>
    <row r="734" spans="1:14" x14ac:dyDescent="0.25">
      <c r="A734" t="e">
        <f>VLOOKUP(VALUE(RIGHT(B734,4)),'Waste Lookups'!$B$1:$C$295,2,FALSE)</f>
        <v>#N/A</v>
      </c>
      <c r="B734" s="74" t="s">
        <v>2221</v>
      </c>
      <c r="C734" s="74" t="s">
        <v>2222</v>
      </c>
      <c r="D734" s="74">
        <v>0</v>
      </c>
      <c r="E734" s="74">
        <v>1.0362</v>
      </c>
      <c r="F734" s="74">
        <v>0</v>
      </c>
      <c r="G734" s="74">
        <v>0</v>
      </c>
      <c r="H734" s="74">
        <v>0</v>
      </c>
      <c r="I734" s="74"/>
      <c r="J734" s="74">
        <v>0</v>
      </c>
      <c r="K734" s="74">
        <v>0.63745000000000007</v>
      </c>
      <c r="L734" s="74">
        <v>0</v>
      </c>
      <c r="M734" s="74">
        <v>0</v>
      </c>
      <c r="N734" s="74">
        <v>0</v>
      </c>
    </row>
    <row r="735" spans="1:14" x14ac:dyDescent="0.25">
      <c r="A735" t="e">
        <f>VLOOKUP(VALUE(RIGHT(B735,4)),'Waste Lookups'!$B$1:$C$295,2,FALSE)</f>
        <v>#N/A</v>
      </c>
      <c r="B735" s="74" t="s">
        <v>2223</v>
      </c>
      <c r="C735" s="74" t="s">
        <v>2224</v>
      </c>
      <c r="D735" s="74">
        <v>0</v>
      </c>
      <c r="E735" s="74">
        <v>2.2631999999999999</v>
      </c>
      <c r="F735" s="74">
        <v>0</v>
      </c>
      <c r="G735" s="74">
        <v>0</v>
      </c>
      <c r="H735" s="74">
        <v>0</v>
      </c>
      <c r="I735" s="74"/>
      <c r="J735" s="74">
        <v>0</v>
      </c>
      <c r="K735" s="74">
        <v>2.9056499999999996</v>
      </c>
      <c r="L735" s="74">
        <v>0</v>
      </c>
      <c r="M735" s="74">
        <v>0</v>
      </c>
      <c r="N735" s="74">
        <v>0</v>
      </c>
    </row>
    <row r="736" spans="1:14" x14ac:dyDescent="0.25">
      <c r="A736" t="e">
        <f>VLOOKUP(VALUE(RIGHT(B736,4)),'Waste Lookups'!$B$1:$C$295,2,FALSE)</f>
        <v>#N/A</v>
      </c>
      <c r="B736" s="74" t="s">
        <v>2225</v>
      </c>
      <c r="C736" s="74" t="s">
        <v>2226</v>
      </c>
      <c r="D736" s="74">
        <v>0</v>
      </c>
      <c r="E736" s="74">
        <v>2.8956</v>
      </c>
      <c r="F736" s="74">
        <v>0</v>
      </c>
      <c r="G736" s="74">
        <v>0</v>
      </c>
      <c r="H736" s="74">
        <v>0</v>
      </c>
      <c r="I736" s="74"/>
      <c r="J736" s="74">
        <v>0</v>
      </c>
      <c r="K736" s="74">
        <v>4.7360500000000005</v>
      </c>
      <c r="L736" s="74">
        <v>0</v>
      </c>
      <c r="M736" s="74">
        <v>0</v>
      </c>
      <c r="N736" s="74">
        <v>0</v>
      </c>
    </row>
    <row r="737" spans="1:14" x14ac:dyDescent="0.25">
      <c r="A737" t="e">
        <f>VLOOKUP(VALUE(RIGHT(B737,4)),'Waste Lookups'!$B$1:$C$295,2,FALSE)</f>
        <v>#N/A</v>
      </c>
      <c r="B737" s="74" t="s">
        <v>2227</v>
      </c>
      <c r="C737" s="74" t="s">
        <v>2228</v>
      </c>
      <c r="D737" s="74">
        <v>0</v>
      </c>
      <c r="E737" s="74">
        <v>4.6463999999999999</v>
      </c>
      <c r="F737" s="74">
        <v>0</v>
      </c>
      <c r="G737" s="74">
        <v>0</v>
      </c>
      <c r="H737" s="74">
        <v>0</v>
      </c>
      <c r="I737" s="74"/>
      <c r="J737" s="74">
        <v>0</v>
      </c>
      <c r="K737" s="74">
        <v>5.8079999999999998</v>
      </c>
      <c r="L737" s="74">
        <v>0</v>
      </c>
      <c r="M737" s="74">
        <v>0</v>
      </c>
      <c r="N737" s="74">
        <v>0</v>
      </c>
    </row>
    <row r="738" spans="1:14" x14ac:dyDescent="0.25">
      <c r="A738" t="e">
        <f>VLOOKUP(VALUE(RIGHT(B738,4)),'Waste Lookups'!$B$1:$C$295,2,FALSE)</f>
        <v>#N/A</v>
      </c>
      <c r="B738" s="74" t="s">
        <v>2229</v>
      </c>
      <c r="C738" s="74" t="s">
        <v>2230</v>
      </c>
      <c r="D738" s="74">
        <v>0</v>
      </c>
      <c r="E738" s="74">
        <v>1.1034000000000002</v>
      </c>
      <c r="F738" s="74">
        <v>0</v>
      </c>
      <c r="G738" s="74">
        <v>0</v>
      </c>
      <c r="H738" s="74">
        <v>0</v>
      </c>
      <c r="I738" s="74"/>
      <c r="J738" s="74">
        <v>0</v>
      </c>
      <c r="K738" s="74">
        <v>1.3452999999999999</v>
      </c>
      <c r="L738" s="74">
        <v>0</v>
      </c>
      <c r="M738" s="74">
        <v>0</v>
      </c>
      <c r="N738" s="74">
        <v>0</v>
      </c>
    </row>
    <row r="739" spans="1:14" x14ac:dyDescent="0.25">
      <c r="A739" t="e">
        <f>VLOOKUP(VALUE(RIGHT(B739,4)),'Waste Lookups'!$B$1:$C$295,2,FALSE)</f>
        <v>#N/A</v>
      </c>
      <c r="B739" s="74" t="s">
        <v>2231</v>
      </c>
      <c r="C739" s="74" t="s">
        <v>2232</v>
      </c>
      <c r="D739" s="74">
        <v>0</v>
      </c>
      <c r="E739" s="74">
        <v>3.819</v>
      </c>
      <c r="F739" s="74">
        <v>0</v>
      </c>
      <c r="G739" s="74">
        <v>0</v>
      </c>
      <c r="H739" s="74">
        <v>0</v>
      </c>
      <c r="I739" s="74"/>
      <c r="J739" s="74">
        <v>0</v>
      </c>
      <c r="K739" s="74">
        <v>7.7566499999999996</v>
      </c>
      <c r="L739" s="74">
        <v>0</v>
      </c>
      <c r="M739" s="74">
        <v>0</v>
      </c>
      <c r="N739" s="74">
        <v>0</v>
      </c>
    </row>
    <row r="740" spans="1:14" x14ac:dyDescent="0.25">
      <c r="A740" t="e">
        <f>VLOOKUP(VALUE(RIGHT(B740,4)),'Waste Lookups'!$B$1:$C$295,2,FALSE)</f>
        <v>#N/A</v>
      </c>
      <c r="B740" s="74" t="s">
        <v>2233</v>
      </c>
      <c r="C740" s="74" t="s">
        <v>2234</v>
      </c>
      <c r="D740" s="74">
        <v>0</v>
      </c>
      <c r="E740" s="74">
        <v>4.7135999999999996</v>
      </c>
      <c r="F740" s="74">
        <v>0</v>
      </c>
      <c r="G740" s="74">
        <v>0</v>
      </c>
      <c r="H740" s="74">
        <v>0</v>
      </c>
      <c r="I740" s="74"/>
      <c r="J740" s="74">
        <v>0</v>
      </c>
      <c r="K740" s="74">
        <v>5.6462999999999992</v>
      </c>
      <c r="L740" s="74">
        <v>0</v>
      </c>
      <c r="M740" s="74">
        <v>0</v>
      </c>
      <c r="N740" s="74">
        <v>0</v>
      </c>
    </row>
    <row r="741" spans="1:14" x14ac:dyDescent="0.25">
      <c r="A741" t="e">
        <f>VLOOKUP(VALUE(RIGHT(B741,4)),'Waste Lookups'!$B$1:$C$295,2,FALSE)</f>
        <v>#N/A</v>
      </c>
      <c r="B741" s="74" t="s">
        <v>2235</v>
      </c>
      <c r="C741" s="74" t="s">
        <v>2236</v>
      </c>
      <c r="D741" s="74">
        <v>0</v>
      </c>
      <c r="E741" s="74">
        <v>2.2667999999999999</v>
      </c>
      <c r="F741" s="74">
        <v>0</v>
      </c>
      <c r="G741" s="74">
        <v>0</v>
      </c>
      <c r="H741" s="74">
        <v>0</v>
      </c>
      <c r="I741" s="74"/>
      <c r="J741" s="74">
        <v>0</v>
      </c>
      <c r="K741" s="74">
        <v>2.9056499999999996</v>
      </c>
      <c r="L741" s="74">
        <v>0</v>
      </c>
      <c r="M741" s="74">
        <v>0</v>
      </c>
      <c r="N741" s="74">
        <v>0</v>
      </c>
    </row>
    <row r="742" spans="1:14" x14ac:dyDescent="0.25">
      <c r="A742" t="e">
        <f>VLOOKUP(VALUE(RIGHT(B742,4)),'Waste Lookups'!$B$1:$C$295,2,FALSE)</f>
        <v>#N/A</v>
      </c>
      <c r="B742" s="74" t="s">
        <v>2237</v>
      </c>
      <c r="C742" s="74" t="s">
        <v>2238</v>
      </c>
      <c r="D742" s="74">
        <v>0</v>
      </c>
      <c r="E742" s="74">
        <v>18.074999999999999</v>
      </c>
      <c r="F742" s="74">
        <v>0</v>
      </c>
      <c r="G742" s="74">
        <v>0</v>
      </c>
      <c r="H742" s="74">
        <v>0</v>
      </c>
      <c r="I742" s="74"/>
      <c r="J742" s="74">
        <v>0</v>
      </c>
      <c r="K742" s="74">
        <v>2.5299999999999998</v>
      </c>
      <c r="L742" s="74">
        <v>0</v>
      </c>
      <c r="M742" s="74">
        <v>0</v>
      </c>
      <c r="N742" s="74">
        <v>0</v>
      </c>
    </row>
    <row r="743" spans="1:14" x14ac:dyDescent="0.25">
      <c r="A743" t="e">
        <f>VLOOKUP(VALUE(RIGHT(B743,4)),'Waste Lookups'!$B$1:$C$295,2,FALSE)</f>
        <v>#N/A</v>
      </c>
      <c r="B743" s="74" t="s">
        <v>2239</v>
      </c>
      <c r="C743" s="74" t="s">
        <v>2240</v>
      </c>
      <c r="D743" s="74">
        <v>0</v>
      </c>
      <c r="E743" s="74">
        <v>2.7029999999999998</v>
      </c>
      <c r="F743" s="74">
        <v>0</v>
      </c>
      <c r="G743" s="74">
        <v>0</v>
      </c>
      <c r="H743" s="74">
        <v>0</v>
      </c>
      <c r="I743" s="74"/>
      <c r="J743" s="74">
        <v>0</v>
      </c>
      <c r="K743" s="74">
        <v>3.5518999999999998</v>
      </c>
      <c r="L743" s="74">
        <v>0</v>
      </c>
      <c r="M743" s="74">
        <v>0</v>
      </c>
      <c r="N743" s="74">
        <v>0</v>
      </c>
    </row>
    <row r="744" spans="1:14" x14ac:dyDescent="0.25">
      <c r="A744" t="e">
        <f>VLOOKUP(VALUE(RIGHT(B744,4)),'Waste Lookups'!$B$1:$C$295,2,FALSE)</f>
        <v>#N/A</v>
      </c>
      <c r="B744" s="74" t="s">
        <v>2241</v>
      </c>
      <c r="C744" s="74" t="s">
        <v>2242</v>
      </c>
      <c r="D744" s="74">
        <v>0</v>
      </c>
      <c r="E744" s="74">
        <v>0</v>
      </c>
      <c r="F744" s="74">
        <v>0</v>
      </c>
      <c r="G744" s="74">
        <v>0</v>
      </c>
      <c r="H744" s="74">
        <v>0</v>
      </c>
      <c r="I744" s="74"/>
      <c r="J744" s="74">
        <v>0</v>
      </c>
      <c r="K744" s="74">
        <v>0</v>
      </c>
      <c r="L744" s="74">
        <v>0</v>
      </c>
      <c r="M744" s="74">
        <v>0</v>
      </c>
      <c r="N744" s="74">
        <v>0</v>
      </c>
    </row>
    <row r="745" spans="1:14" x14ac:dyDescent="0.25">
      <c r="A745" t="e">
        <f>VLOOKUP(VALUE(RIGHT(B745,4)),'Waste Lookups'!$B$1:$C$295,2,FALSE)</f>
        <v>#N/A</v>
      </c>
      <c r="B745" s="74" t="s">
        <v>2243</v>
      </c>
      <c r="C745" s="74" t="s">
        <v>2244</v>
      </c>
      <c r="D745" s="74">
        <v>0</v>
      </c>
      <c r="E745" s="74">
        <v>15.151140000000002</v>
      </c>
      <c r="F745" s="74">
        <v>0</v>
      </c>
      <c r="G745" s="74">
        <v>0</v>
      </c>
      <c r="H745" s="74">
        <v>6.9970956418852293</v>
      </c>
      <c r="I745" s="74"/>
      <c r="J745" s="74">
        <v>0</v>
      </c>
      <c r="K745" s="74">
        <v>20.746529943273909</v>
      </c>
      <c r="L745" s="74">
        <v>0</v>
      </c>
      <c r="M745" s="74">
        <v>0</v>
      </c>
      <c r="N745" s="74">
        <v>9.5811572099738544</v>
      </c>
    </row>
    <row r="746" spans="1:14" x14ac:dyDescent="0.25">
      <c r="A746" t="e">
        <f>VLOOKUP(VALUE(RIGHT(B746,4)),'Waste Lookups'!$B$1:$C$295,2,FALSE)</f>
        <v>#N/A</v>
      </c>
      <c r="B746" s="74" t="s">
        <v>2245</v>
      </c>
      <c r="C746" s="74" t="s">
        <v>2246</v>
      </c>
      <c r="D746" s="74">
        <v>0</v>
      </c>
      <c r="E746" s="74">
        <v>16.306800000000003</v>
      </c>
      <c r="F746" s="74">
        <v>0</v>
      </c>
      <c r="G746" s="74">
        <v>0</v>
      </c>
      <c r="H746" s="74">
        <v>0</v>
      </c>
      <c r="I746" s="74"/>
      <c r="J746" s="74">
        <v>0</v>
      </c>
      <c r="K746" s="74">
        <v>10.61665</v>
      </c>
      <c r="L746" s="74">
        <v>0</v>
      </c>
      <c r="M746" s="74">
        <v>0</v>
      </c>
      <c r="N746" s="74">
        <v>0</v>
      </c>
    </row>
    <row r="747" spans="1:14" x14ac:dyDescent="0.25">
      <c r="A747" t="str">
        <f>VLOOKUP(VALUE(RIGHT(B747,4)),'Waste Lookups'!$B$1:$C$295,2,FALSE)</f>
        <v>Brunswick Court</v>
      </c>
      <c r="B747" s="74" t="s">
        <v>742</v>
      </c>
      <c r="C747" s="74" t="s">
        <v>2247</v>
      </c>
      <c r="D747" s="74">
        <v>0.52669696969696977</v>
      </c>
      <c r="E747" s="74">
        <v>13.260299999999999</v>
      </c>
      <c r="F747" s="74">
        <v>0</v>
      </c>
      <c r="G747" s="74">
        <v>4.697820000000001</v>
      </c>
      <c r="H747" s="74">
        <v>4.3729694340366798</v>
      </c>
      <c r="I747" s="74"/>
      <c r="J747" s="74">
        <v>0.74668355710650958</v>
      </c>
      <c r="K747" s="74">
        <v>18.798756290540346</v>
      </c>
      <c r="L747" s="74">
        <v>0</v>
      </c>
      <c r="M747" s="74">
        <v>6.6599679703193955</v>
      </c>
      <c r="N747" s="74">
        <v>6.1994364121805452</v>
      </c>
    </row>
    <row r="748" spans="1:14" x14ac:dyDescent="0.25">
      <c r="A748" t="e">
        <f>VLOOKUP(VALUE(RIGHT(B748,4)),'Waste Lookups'!$B$1:$C$295,2,FALSE)</f>
        <v>#N/A</v>
      </c>
      <c r="B748" s="74" t="s">
        <v>2248</v>
      </c>
      <c r="C748" s="74" t="s">
        <v>2249</v>
      </c>
      <c r="D748" s="74">
        <v>0</v>
      </c>
      <c r="E748" s="74">
        <v>0</v>
      </c>
      <c r="F748" s="74">
        <v>0</v>
      </c>
      <c r="G748" s="74">
        <v>0</v>
      </c>
      <c r="H748" s="74">
        <v>0</v>
      </c>
      <c r="I748" s="74"/>
      <c r="J748" s="74">
        <v>0</v>
      </c>
      <c r="K748" s="74">
        <v>0</v>
      </c>
      <c r="L748" s="74">
        <v>0</v>
      </c>
      <c r="M748" s="74">
        <v>0</v>
      </c>
      <c r="N748" s="74">
        <v>0</v>
      </c>
    </row>
    <row r="749" spans="1:14" x14ac:dyDescent="0.25">
      <c r="A749" t="e">
        <f>VLOOKUP(VALUE(RIGHT(B749,4)),'Waste Lookups'!$B$1:$C$295,2,FALSE)</f>
        <v>#N/A</v>
      </c>
      <c r="B749" s="74" t="s">
        <v>2250</v>
      </c>
      <c r="C749" s="74" t="s">
        <v>2251</v>
      </c>
      <c r="D749" s="74">
        <v>0</v>
      </c>
      <c r="E749" s="74">
        <v>4.6806599999999996</v>
      </c>
      <c r="F749" s="74">
        <v>0</v>
      </c>
      <c r="G749" s="74">
        <v>0</v>
      </c>
      <c r="H749" s="74">
        <v>0</v>
      </c>
      <c r="I749" s="74"/>
      <c r="J749" s="74">
        <v>0</v>
      </c>
      <c r="K749" s="74">
        <v>4.6234099999999998</v>
      </c>
      <c r="L749" s="74">
        <v>0</v>
      </c>
      <c r="M749" s="74">
        <v>0</v>
      </c>
      <c r="N749" s="74">
        <v>0</v>
      </c>
    </row>
    <row r="750" spans="1:14" x14ac:dyDescent="0.25">
      <c r="A750" t="e">
        <f>VLOOKUP(VALUE(RIGHT(B750,4)),'Waste Lookups'!$B$1:$C$295,2,FALSE)</f>
        <v>#N/A</v>
      </c>
      <c r="B750" s="74" t="s">
        <v>2252</v>
      </c>
      <c r="C750" s="74" t="s">
        <v>2253</v>
      </c>
      <c r="D750" s="74">
        <v>0</v>
      </c>
      <c r="E750" s="74">
        <v>8.2639200000000006</v>
      </c>
      <c r="F750" s="74">
        <v>0</v>
      </c>
      <c r="G750" s="74">
        <v>0</v>
      </c>
      <c r="H750" s="74">
        <v>2.4476560836126997</v>
      </c>
      <c r="I750" s="74"/>
      <c r="J750" s="74">
        <v>0</v>
      </c>
      <c r="K750" s="74">
        <v>6.5107238432663879</v>
      </c>
      <c r="L750" s="74">
        <v>0</v>
      </c>
      <c r="M750" s="74">
        <v>0</v>
      </c>
      <c r="N750" s="74">
        <v>1.9283842079416587</v>
      </c>
    </row>
    <row r="751" spans="1:14" x14ac:dyDescent="0.25">
      <c r="A751" t="str">
        <f>VLOOKUP(VALUE(RIGHT(B751,4)),'Waste Lookups'!$B$1:$C$295,2,FALSE)</f>
        <v>King Lane Moortown</v>
      </c>
      <c r="B751" s="74" t="s">
        <v>759</v>
      </c>
      <c r="C751" s="74" t="s">
        <v>2254</v>
      </c>
      <c r="D751" s="74">
        <v>0</v>
      </c>
      <c r="E751" s="74">
        <v>7.1216400000000002</v>
      </c>
      <c r="F751" s="74">
        <v>0</v>
      </c>
      <c r="G751" s="74">
        <v>0.11601</v>
      </c>
      <c r="H751" s="74">
        <v>0.74007020311575611</v>
      </c>
      <c r="I751" s="74"/>
      <c r="J751" s="74">
        <v>0</v>
      </c>
      <c r="K751" s="74">
        <v>8.0161613585203728</v>
      </c>
      <c r="L751" s="74">
        <v>0</v>
      </c>
      <c r="M751" s="74">
        <v>0.13058156256170603</v>
      </c>
      <c r="N751" s="74">
        <v>0.8330275280425361</v>
      </c>
    </row>
    <row r="752" spans="1:14" x14ac:dyDescent="0.25">
      <c r="A752" t="e">
        <f>VLOOKUP(VALUE(RIGHT(B752,4)),'Waste Lookups'!$B$1:$C$295,2,FALSE)</f>
        <v>#N/A</v>
      </c>
      <c r="B752" s="74" t="s">
        <v>2255</v>
      </c>
      <c r="C752" s="74" t="s">
        <v>2256</v>
      </c>
      <c r="D752" s="74">
        <v>0</v>
      </c>
      <c r="E752" s="74">
        <v>4.6451400000000005</v>
      </c>
      <c r="F752" s="74">
        <v>0</v>
      </c>
      <c r="G752" s="74">
        <v>0</v>
      </c>
      <c r="H752" s="74">
        <v>0</v>
      </c>
      <c r="I752" s="74"/>
      <c r="J752" s="74">
        <v>0</v>
      </c>
      <c r="K752" s="74">
        <v>5.0830450000000003</v>
      </c>
      <c r="L752" s="74">
        <v>0</v>
      </c>
      <c r="M752" s="74">
        <v>0</v>
      </c>
      <c r="N752" s="74">
        <v>0</v>
      </c>
    </row>
    <row r="753" spans="1:14" x14ac:dyDescent="0.25">
      <c r="A753" t="e">
        <f>VLOOKUP(VALUE(RIGHT(B753,4)),'Waste Lookups'!$B$1:$C$295,2,FALSE)</f>
        <v>#N/A</v>
      </c>
      <c r="B753" s="74" t="s">
        <v>2257</v>
      </c>
      <c r="C753" s="74" t="s">
        <v>2258</v>
      </c>
      <c r="D753" s="74">
        <v>0</v>
      </c>
      <c r="E753" s="74">
        <v>11.065200000000001</v>
      </c>
      <c r="F753" s="74">
        <v>0</v>
      </c>
      <c r="G753" s="74">
        <v>0</v>
      </c>
      <c r="H753" s="74">
        <v>2.4476560836126997</v>
      </c>
      <c r="I753" s="74"/>
      <c r="J753" s="74">
        <v>0</v>
      </c>
      <c r="K753" s="74">
        <v>6.5566369360091059</v>
      </c>
      <c r="L753" s="74">
        <v>0</v>
      </c>
      <c r="M753" s="74">
        <v>0</v>
      </c>
      <c r="N753" s="74">
        <v>1.450348144133176</v>
      </c>
    </row>
    <row r="754" spans="1:14" x14ac:dyDescent="0.25">
      <c r="A754" t="e">
        <f>VLOOKUP(VALUE(RIGHT(B754,4)),'Waste Lookups'!$B$1:$C$295,2,FALSE)</f>
        <v>#N/A</v>
      </c>
      <c r="B754" s="74" t="s">
        <v>2259</v>
      </c>
      <c r="C754" s="74" t="s">
        <v>2260</v>
      </c>
      <c r="D754" s="74">
        <v>0</v>
      </c>
      <c r="E754" s="74">
        <v>0</v>
      </c>
      <c r="F754" s="74">
        <v>0</v>
      </c>
      <c r="G754" s="74">
        <v>0</v>
      </c>
      <c r="H754" s="74">
        <v>0</v>
      </c>
      <c r="I754" s="74"/>
      <c r="J754" s="74">
        <v>0</v>
      </c>
      <c r="K754" s="74">
        <v>0</v>
      </c>
      <c r="L754" s="74">
        <v>0</v>
      </c>
      <c r="M754" s="74">
        <v>0</v>
      </c>
      <c r="N754" s="74">
        <v>0</v>
      </c>
    </row>
    <row r="755" spans="1:14" x14ac:dyDescent="0.25">
      <c r="A755" t="e">
        <f>VLOOKUP(VALUE(RIGHT(B755,4)),'Waste Lookups'!$B$1:$C$295,2,FALSE)</f>
        <v>#N/A</v>
      </c>
      <c r="B755" s="74" t="s">
        <v>2261</v>
      </c>
      <c r="C755" s="74" t="s">
        <v>2262</v>
      </c>
      <c r="D755" s="74">
        <v>0</v>
      </c>
      <c r="E755" s="74">
        <v>0</v>
      </c>
      <c r="F755" s="74">
        <v>0</v>
      </c>
      <c r="G755" s="74">
        <v>0</v>
      </c>
      <c r="H755" s="74">
        <v>0</v>
      </c>
      <c r="I755" s="74"/>
      <c r="J755" s="74">
        <v>0</v>
      </c>
      <c r="K755" s="74">
        <v>0</v>
      </c>
      <c r="L755" s="74">
        <v>0</v>
      </c>
      <c r="M755" s="74">
        <v>0</v>
      </c>
      <c r="N755" s="74">
        <v>0</v>
      </c>
    </row>
    <row r="756" spans="1:14" x14ac:dyDescent="0.25">
      <c r="A756" t="e">
        <f>VLOOKUP(VALUE(RIGHT(B756,4)),'Waste Lookups'!$B$1:$C$295,2,FALSE)</f>
        <v>#N/A</v>
      </c>
      <c r="B756" s="74" t="s">
        <v>2263</v>
      </c>
      <c r="C756" s="74" t="s">
        <v>2264</v>
      </c>
      <c r="D756" s="74">
        <v>0</v>
      </c>
      <c r="E756" s="74">
        <v>0</v>
      </c>
      <c r="F756" s="74">
        <v>0</v>
      </c>
      <c r="G756" s="74">
        <v>0</v>
      </c>
      <c r="H756" s="74">
        <v>0</v>
      </c>
      <c r="I756" s="74"/>
      <c r="J756" s="74">
        <v>0</v>
      </c>
      <c r="K756" s="74">
        <v>0</v>
      </c>
      <c r="L756" s="74">
        <v>0</v>
      </c>
      <c r="M756" s="74">
        <v>0</v>
      </c>
      <c r="N756" s="74">
        <v>0</v>
      </c>
    </row>
    <row r="757" spans="1:14" x14ac:dyDescent="0.25">
      <c r="A757" t="e">
        <f>VLOOKUP(VALUE(RIGHT(B757,4)),'Waste Lookups'!$B$1:$C$295,2,FALSE)</f>
        <v>#N/A</v>
      </c>
      <c r="B757" s="74" t="s">
        <v>2265</v>
      </c>
      <c r="C757" s="74" t="s">
        <v>2266</v>
      </c>
      <c r="D757" s="74">
        <v>0</v>
      </c>
      <c r="E757" s="74">
        <v>0</v>
      </c>
      <c r="F757" s="74">
        <v>0</v>
      </c>
      <c r="G757" s="74">
        <v>0</v>
      </c>
      <c r="H757" s="74">
        <v>0</v>
      </c>
      <c r="I757" s="74"/>
      <c r="J757" s="74">
        <v>0</v>
      </c>
      <c r="K757" s="74">
        <v>0</v>
      </c>
      <c r="L757" s="74">
        <v>0</v>
      </c>
      <c r="M757" s="74">
        <v>0</v>
      </c>
      <c r="N757" s="74">
        <v>0</v>
      </c>
    </row>
    <row r="758" spans="1:14" x14ac:dyDescent="0.25">
      <c r="A758" t="e">
        <f>VLOOKUP(VALUE(RIGHT(B758,4)),'Waste Lookups'!$B$1:$C$295,2,FALSE)</f>
        <v>#N/A</v>
      </c>
      <c r="B758" s="74" t="s">
        <v>2267</v>
      </c>
      <c r="C758" s="74" t="s">
        <v>2268</v>
      </c>
      <c r="D758" s="74">
        <v>1.4701515151515152</v>
      </c>
      <c r="E758" s="74">
        <v>3.6366000000000005</v>
      </c>
      <c r="F758" s="74">
        <v>0</v>
      </c>
      <c r="G758" s="74">
        <v>0</v>
      </c>
      <c r="H758" s="74">
        <v>0</v>
      </c>
      <c r="I758" s="74"/>
      <c r="J758" s="74">
        <v>1.5121959399261804</v>
      </c>
      <c r="K758" s="74">
        <v>3.7406020389461632</v>
      </c>
      <c r="L758" s="74">
        <v>0</v>
      </c>
      <c r="M758" s="74">
        <v>0</v>
      </c>
      <c r="N758" s="74">
        <v>0</v>
      </c>
    </row>
    <row r="759" spans="1:14" x14ac:dyDescent="0.25">
      <c r="A759" t="e">
        <f>VLOOKUP(VALUE(RIGHT(B759,4)),'Waste Lookups'!$B$1:$C$295,2,FALSE)</f>
        <v>#N/A</v>
      </c>
      <c r="B759" s="74" t="s">
        <v>2269</v>
      </c>
      <c r="C759" s="74" t="s">
        <v>2270</v>
      </c>
      <c r="D759" s="74">
        <v>0.75403030303030305</v>
      </c>
      <c r="E759" s="74">
        <v>12.364439999999998</v>
      </c>
      <c r="F759" s="74">
        <v>0</v>
      </c>
      <c r="G759" s="74">
        <v>0</v>
      </c>
      <c r="H759" s="74">
        <v>0</v>
      </c>
      <c r="I759" s="74"/>
      <c r="J759" s="74">
        <v>0</v>
      </c>
      <c r="K759" s="74">
        <v>0</v>
      </c>
      <c r="L759" s="74">
        <v>0</v>
      </c>
      <c r="M759" s="74">
        <v>0</v>
      </c>
      <c r="N759" s="74">
        <v>0</v>
      </c>
    </row>
    <row r="760" spans="1:14" x14ac:dyDescent="0.25">
      <c r="A760" t="e">
        <f>VLOOKUP(VALUE(RIGHT(B760,4)),'Waste Lookups'!$B$1:$C$295,2,FALSE)</f>
        <v>#N/A</v>
      </c>
      <c r="B760" s="74" t="s">
        <v>2271</v>
      </c>
      <c r="C760" s="74" t="s">
        <v>2272</v>
      </c>
      <c r="D760" s="74">
        <v>0.55642424242424249</v>
      </c>
      <c r="E760" s="74">
        <v>4.2213599999999998</v>
      </c>
      <c r="F760" s="74">
        <v>0</v>
      </c>
      <c r="G760" s="74">
        <v>0</v>
      </c>
      <c r="H760" s="74">
        <v>0</v>
      </c>
      <c r="I760" s="74"/>
      <c r="J760" s="74">
        <v>0.11666806497992391</v>
      </c>
      <c r="K760" s="74">
        <v>0.8851122313397507</v>
      </c>
      <c r="L760" s="74">
        <v>0</v>
      </c>
      <c r="M760" s="74">
        <v>0</v>
      </c>
      <c r="N760" s="74">
        <v>0</v>
      </c>
    </row>
    <row r="761" spans="1:14" x14ac:dyDescent="0.25">
      <c r="A761" t="e">
        <f>VLOOKUP(VALUE(RIGHT(B761,4)),'Waste Lookups'!$B$1:$C$295,2,FALSE)</f>
        <v>#N/A</v>
      </c>
      <c r="B761" s="74" t="s">
        <v>2273</v>
      </c>
      <c r="C761" s="74" t="s">
        <v>2274</v>
      </c>
      <c r="D761" s="74">
        <v>0</v>
      </c>
      <c r="E761" s="74">
        <v>2.43648</v>
      </c>
      <c r="F761" s="74">
        <v>0</v>
      </c>
      <c r="G761" s="74">
        <v>0</v>
      </c>
      <c r="H761" s="74">
        <v>18.522074541510552</v>
      </c>
      <c r="I761" s="74"/>
      <c r="J761" s="74">
        <v>0</v>
      </c>
      <c r="K761" s="74">
        <v>2.3608124832687563</v>
      </c>
      <c r="L761" s="74">
        <v>0</v>
      </c>
      <c r="M761" s="74">
        <v>0</v>
      </c>
      <c r="N761" s="74">
        <v>17.94685152089594</v>
      </c>
    </row>
    <row r="762" spans="1:14" x14ac:dyDescent="0.25">
      <c r="A762" t="e">
        <f>VLOOKUP(VALUE(RIGHT(B762,4)),'Waste Lookups'!$B$1:$C$295,2,FALSE)</f>
        <v>#N/A</v>
      </c>
      <c r="B762" s="74" t="s">
        <v>2275</v>
      </c>
      <c r="C762" s="74" t="s">
        <v>2276</v>
      </c>
      <c r="D762" s="74">
        <v>0</v>
      </c>
      <c r="E762" s="74">
        <v>10.693320000000002</v>
      </c>
      <c r="F762" s="74">
        <v>0</v>
      </c>
      <c r="G762" s="74">
        <v>0</v>
      </c>
      <c r="H762" s="74">
        <v>0</v>
      </c>
      <c r="I762" s="74"/>
      <c r="J762" s="74">
        <v>0</v>
      </c>
      <c r="K762" s="74">
        <v>0</v>
      </c>
      <c r="L762" s="74">
        <v>0</v>
      </c>
      <c r="M762" s="74">
        <v>0</v>
      </c>
      <c r="N762" s="74">
        <v>0</v>
      </c>
    </row>
    <row r="763" spans="1:14" x14ac:dyDescent="0.25">
      <c r="A763" t="e">
        <f>VLOOKUP(VALUE(RIGHT(B763,4)),'Waste Lookups'!$B$1:$C$295,2,FALSE)</f>
        <v>#N/A</v>
      </c>
      <c r="B763" s="74" t="s">
        <v>2277</v>
      </c>
      <c r="C763" s="74" t="s">
        <v>2278</v>
      </c>
      <c r="D763" s="74">
        <v>0</v>
      </c>
      <c r="E763" s="74">
        <v>1.9760399999999998</v>
      </c>
      <c r="F763" s="74">
        <v>0</v>
      </c>
      <c r="G763" s="74">
        <v>0</v>
      </c>
      <c r="H763" s="74">
        <v>0</v>
      </c>
      <c r="I763" s="74"/>
      <c r="J763" s="74">
        <v>0</v>
      </c>
      <c r="K763" s="74">
        <v>0</v>
      </c>
      <c r="L763" s="74">
        <v>0</v>
      </c>
      <c r="M763" s="74">
        <v>0</v>
      </c>
      <c r="N763" s="74">
        <v>0</v>
      </c>
    </row>
    <row r="764" spans="1:14" x14ac:dyDescent="0.25">
      <c r="A764" t="e">
        <f>VLOOKUP(VALUE(RIGHT(B764,4)),'Waste Lookups'!$B$1:$C$295,2,FALSE)</f>
        <v>#N/A</v>
      </c>
      <c r="B764" s="74" t="s">
        <v>2279</v>
      </c>
      <c r="C764" s="74" t="s">
        <v>2280</v>
      </c>
      <c r="D764" s="74">
        <v>0</v>
      </c>
      <c r="E764" s="74">
        <v>3.3239999999999998</v>
      </c>
      <c r="F764" s="74">
        <v>0</v>
      </c>
      <c r="G764" s="74">
        <v>0</v>
      </c>
      <c r="H764" s="74">
        <v>0</v>
      </c>
      <c r="I764" s="74"/>
      <c r="J764" s="74">
        <v>0</v>
      </c>
      <c r="K764" s="74">
        <v>6.7033999999999994</v>
      </c>
      <c r="L764" s="74">
        <v>0</v>
      </c>
      <c r="M764" s="74">
        <v>0</v>
      </c>
      <c r="N764" s="74">
        <v>0</v>
      </c>
    </row>
    <row r="765" spans="1:14" x14ac:dyDescent="0.25">
      <c r="A765" t="e">
        <f>VLOOKUP(VALUE(RIGHT(B765,4)),'Waste Lookups'!$B$1:$C$295,2,FALSE)</f>
        <v>#N/A</v>
      </c>
      <c r="B765" s="74" t="s">
        <v>2281</v>
      </c>
      <c r="C765" s="74" t="s">
        <v>2282</v>
      </c>
      <c r="D765" s="74">
        <v>0</v>
      </c>
      <c r="E765" s="74">
        <v>0</v>
      </c>
      <c r="F765" s="74">
        <v>0</v>
      </c>
      <c r="G765" s="74">
        <v>0</v>
      </c>
      <c r="H765" s="74">
        <v>0</v>
      </c>
      <c r="I765" s="74"/>
      <c r="J765" s="74">
        <v>0</v>
      </c>
      <c r="K765" s="74">
        <v>0</v>
      </c>
      <c r="L765" s="74">
        <v>0</v>
      </c>
      <c r="M765" s="74">
        <v>0</v>
      </c>
      <c r="N765" s="74">
        <v>0</v>
      </c>
    </row>
    <row r="766" spans="1:14" x14ac:dyDescent="0.25">
      <c r="A766" t="e">
        <f>VLOOKUP(VALUE(RIGHT(B766,4)),'Waste Lookups'!$B$1:$C$295,2,FALSE)</f>
        <v>#N/A</v>
      </c>
      <c r="B766" s="74" t="s">
        <v>2283</v>
      </c>
      <c r="C766" s="74" t="s">
        <v>2284</v>
      </c>
      <c r="D766" s="74">
        <v>0</v>
      </c>
      <c r="E766" s="74">
        <v>61.186080000000004</v>
      </c>
      <c r="F766" s="74">
        <v>0</v>
      </c>
      <c r="G766" s="74">
        <v>3.6179999999999999</v>
      </c>
      <c r="H766" s="74">
        <v>3.7020295799645035</v>
      </c>
      <c r="I766" s="74"/>
      <c r="J766" s="74">
        <v>0</v>
      </c>
      <c r="K766" s="74">
        <v>59.826990852754378</v>
      </c>
      <c r="L766" s="74">
        <v>0</v>
      </c>
      <c r="M766" s="74">
        <v>3.5376355685029233</v>
      </c>
      <c r="N766" s="74">
        <v>3.6197986505617372</v>
      </c>
    </row>
    <row r="767" spans="1:14" x14ac:dyDescent="0.25">
      <c r="A767" t="e">
        <f>VLOOKUP(VALUE(RIGHT(B767,4)),'Waste Lookups'!$B$1:$C$295,2,FALSE)</f>
        <v>#N/A</v>
      </c>
      <c r="B767" s="74" t="s">
        <v>2285</v>
      </c>
      <c r="C767" s="74" t="s">
        <v>2286</v>
      </c>
      <c r="D767" s="74">
        <v>0</v>
      </c>
      <c r="E767" s="74">
        <v>2.1126</v>
      </c>
      <c r="F767" s="74">
        <v>0</v>
      </c>
      <c r="G767" s="74">
        <v>0</v>
      </c>
      <c r="H767" s="74">
        <v>0</v>
      </c>
      <c r="I767" s="74"/>
      <c r="J767" s="74">
        <v>0</v>
      </c>
      <c r="K767" s="74">
        <v>0</v>
      </c>
      <c r="L767" s="74">
        <v>0</v>
      </c>
      <c r="M767" s="74">
        <v>0</v>
      </c>
      <c r="N767" s="74">
        <v>0</v>
      </c>
    </row>
    <row r="768" spans="1:14" x14ac:dyDescent="0.25">
      <c r="A768" t="e">
        <f>VLOOKUP(VALUE(RIGHT(B768,4)),'Waste Lookups'!$B$1:$C$295,2,FALSE)</f>
        <v>#N/A</v>
      </c>
      <c r="B768" s="74" t="s">
        <v>2287</v>
      </c>
      <c r="C768" s="74" t="s">
        <v>2288</v>
      </c>
      <c r="D768" s="74">
        <v>0</v>
      </c>
      <c r="E768" s="74">
        <v>0.18359999999999999</v>
      </c>
      <c r="F768" s="74">
        <v>0</v>
      </c>
      <c r="G768" s="74">
        <v>0</v>
      </c>
      <c r="H768" s="74">
        <v>0</v>
      </c>
      <c r="I768" s="74"/>
      <c r="J768" s="74">
        <v>0</v>
      </c>
      <c r="K768" s="74">
        <v>-0.16830000000000001</v>
      </c>
      <c r="L768" s="74">
        <v>0</v>
      </c>
      <c r="M768" s="74">
        <v>0</v>
      </c>
      <c r="N768" s="74">
        <v>0</v>
      </c>
    </row>
    <row r="769" spans="1:14" x14ac:dyDescent="0.25">
      <c r="A769" t="str">
        <f>VLOOKUP(VALUE(RIGHT(B769,4)),'Waste Lookups'!$B$1:$C$295,2,FALSE)</f>
        <v>William Farr House</v>
      </c>
      <c r="B769" s="74" t="s">
        <v>644</v>
      </c>
      <c r="C769" s="74" t="s">
        <v>2289</v>
      </c>
      <c r="D769" s="74">
        <v>0</v>
      </c>
      <c r="E769" s="74">
        <v>49.693259999999995</v>
      </c>
      <c r="F769" s="74">
        <v>0</v>
      </c>
      <c r="G769" s="74">
        <v>0.70848</v>
      </c>
      <c r="H769" s="74">
        <v>6.9969631236442523E-2</v>
      </c>
      <c r="I769" s="74"/>
      <c r="J769" s="74">
        <v>0</v>
      </c>
      <c r="K769" s="74">
        <v>39.243902844604783</v>
      </c>
      <c r="L769" s="74">
        <v>0</v>
      </c>
      <c r="M769" s="74">
        <v>0.55950284379301329</v>
      </c>
      <c r="N769" s="74">
        <v>5.5256616497202524E-2</v>
      </c>
    </row>
    <row r="770" spans="1:14" x14ac:dyDescent="0.25">
      <c r="A770" t="e">
        <f>VLOOKUP(VALUE(RIGHT(B770,4)),'Waste Lookups'!$B$1:$C$295,2,FALSE)</f>
        <v>#N/A</v>
      </c>
      <c r="B770" s="74" t="s">
        <v>2290</v>
      </c>
      <c r="C770" s="74" t="s">
        <v>2291</v>
      </c>
      <c r="D770" s="74">
        <v>0</v>
      </c>
      <c r="E770" s="74">
        <v>0.62525999999999993</v>
      </c>
      <c r="F770" s="74">
        <v>0</v>
      </c>
      <c r="G770" s="74">
        <v>0</v>
      </c>
      <c r="H770" s="74">
        <v>0</v>
      </c>
      <c r="I770" s="74"/>
      <c r="J770" s="74">
        <v>0</v>
      </c>
      <c r="K770" s="74">
        <v>0.160215</v>
      </c>
      <c r="L770" s="74">
        <v>0</v>
      </c>
      <c r="M770" s="74">
        <v>0</v>
      </c>
      <c r="N770" s="74">
        <v>0</v>
      </c>
    </row>
    <row r="771" spans="1:14" x14ac:dyDescent="0.25">
      <c r="A771" t="e">
        <f>VLOOKUP(VALUE(RIGHT(B771,4)),'Waste Lookups'!$B$1:$C$295,2,FALSE)</f>
        <v>#N/A</v>
      </c>
      <c r="B771" s="74" t="s">
        <v>2292</v>
      </c>
      <c r="C771" s="74" t="s">
        <v>2293</v>
      </c>
      <c r="D771" s="74">
        <v>0</v>
      </c>
      <c r="E771" s="74">
        <v>9.0998400000000004</v>
      </c>
      <c r="F771" s="74">
        <v>0</v>
      </c>
      <c r="G771" s="74">
        <v>0</v>
      </c>
      <c r="H771" s="74">
        <v>0.30214158943009273</v>
      </c>
      <c r="I771" s="74"/>
      <c r="J771" s="74">
        <v>0</v>
      </c>
      <c r="K771" s="74">
        <v>4.772860453742493</v>
      </c>
      <c r="L771" s="74">
        <v>0</v>
      </c>
      <c r="M771" s="74">
        <v>0</v>
      </c>
      <c r="N771" s="74">
        <v>0.15847307684770176</v>
      </c>
    </row>
    <row r="772" spans="1:14" x14ac:dyDescent="0.25">
      <c r="A772" t="e">
        <f>VLOOKUP(VALUE(RIGHT(B772,4)),'Waste Lookups'!$B$1:$C$295,2,FALSE)</f>
        <v>#N/A</v>
      </c>
      <c r="B772" s="74" t="s">
        <v>2294</v>
      </c>
      <c r="C772" s="74" t="s">
        <v>2295</v>
      </c>
      <c r="D772" s="74">
        <v>0</v>
      </c>
      <c r="E772" s="74">
        <v>0.15564000000000003</v>
      </c>
      <c r="F772" s="74">
        <v>0</v>
      </c>
      <c r="G772" s="74">
        <v>0</v>
      </c>
      <c r="H772" s="74">
        <v>9.391126010648787E-2</v>
      </c>
      <c r="I772" s="74"/>
      <c r="J772" s="74">
        <v>0</v>
      </c>
      <c r="K772" s="74">
        <v>0.67465983050847445</v>
      </c>
      <c r="L772" s="74">
        <v>0</v>
      </c>
      <c r="M772" s="74">
        <v>0</v>
      </c>
      <c r="N772" s="74">
        <v>0.40708143681753001</v>
      </c>
    </row>
    <row r="773" spans="1:14" x14ac:dyDescent="0.25">
      <c r="A773" t="str">
        <f>VLOOKUP(VALUE(RIGHT(B773,4)),'Waste Lookups'!$B$1:$C$295,2,FALSE)</f>
        <v>Halesfield 6</v>
      </c>
      <c r="B773" s="74" t="s">
        <v>645</v>
      </c>
      <c r="C773" s="74" t="s">
        <v>2296</v>
      </c>
      <c r="D773" s="74">
        <v>3.6939393939393939E-2</v>
      </c>
      <c r="E773" s="74">
        <v>6.2565599999999995</v>
      </c>
      <c r="F773" s="74">
        <v>0</v>
      </c>
      <c r="G773" s="74">
        <v>13.320179999999999</v>
      </c>
      <c r="H773" s="74">
        <v>7.4355101557878136</v>
      </c>
      <c r="I773" s="74"/>
      <c r="J773" s="74">
        <v>3.9897070401759556E-2</v>
      </c>
      <c r="K773" s="74">
        <v>6.7575124595270557</v>
      </c>
      <c r="L773" s="74">
        <v>0</v>
      </c>
      <c r="M773" s="74">
        <v>14.386704884655959</v>
      </c>
      <c r="N773" s="74">
        <v>8.0308592134777115</v>
      </c>
    </row>
    <row r="774" spans="1:14" x14ac:dyDescent="0.25">
      <c r="A774" t="e">
        <f>VLOOKUP(VALUE(RIGHT(B774,4)),'Waste Lookups'!$B$1:$C$295,2,FALSE)</f>
        <v>#N/A</v>
      </c>
      <c r="B774" s="74" t="s">
        <v>2297</v>
      </c>
      <c r="C774" s="74" t="s">
        <v>2298</v>
      </c>
      <c r="D774" s="74">
        <v>0</v>
      </c>
      <c r="E774" s="74">
        <v>0</v>
      </c>
      <c r="F774" s="74">
        <v>0</v>
      </c>
      <c r="G774" s="74">
        <v>0</v>
      </c>
      <c r="H774" s="74">
        <v>0</v>
      </c>
      <c r="I774" s="74"/>
      <c r="J774" s="74">
        <v>0</v>
      </c>
      <c r="K774" s="74">
        <v>0</v>
      </c>
      <c r="L774" s="74">
        <v>0</v>
      </c>
      <c r="M774" s="74">
        <v>0</v>
      </c>
      <c r="N774" s="74">
        <v>0</v>
      </c>
    </row>
    <row r="775" spans="1:14" x14ac:dyDescent="0.25">
      <c r="A775" t="e">
        <f>VLOOKUP(VALUE(RIGHT(B775,4)),'Waste Lookups'!$B$1:$C$295,2,FALSE)</f>
        <v>#N/A</v>
      </c>
      <c r="B775" s="74" t="s">
        <v>2299</v>
      </c>
      <c r="C775" s="74" t="s">
        <v>2300</v>
      </c>
      <c r="D775" s="74">
        <v>0</v>
      </c>
      <c r="E775" s="74">
        <v>2.4460799999999998</v>
      </c>
      <c r="F775" s="74">
        <v>0</v>
      </c>
      <c r="G775" s="74">
        <v>0</v>
      </c>
      <c r="H775" s="74">
        <v>0.14161782685860777</v>
      </c>
      <c r="I775" s="74"/>
      <c r="J775" s="74">
        <v>0</v>
      </c>
      <c r="K775" s="74">
        <v>1.6787990576249598</v>
      </c>
      <c r="L775" s="74">
        <v>0</v>
      </c>
      <c r="M775" s="74">
        <v>0</v>
      </c>
      <c r="N775" s="74">
        <v>9.7195461421182253E-2</v>
      </c>
    </row>
    <row r="776" spans="1:14" x14ac:dyDescent="0.25">
      <c r="A776" t="e">
        <f>VLOOKUP(VALUE(RIGHT(B776,4)),'Waste Lookups'!$B$1:$C$295,2,FALSE)</f>
        <v>#N/A</v>
      </c>
      <c r="B776" s="74" t="s">
        <v>2301</v>
      </c>
      <c r="C776" s="74" t="s">
        <v>2302</v>
      </c>
      <c r="D776" s="74">
        <v>8.1325454545454541</v>
      </c>
      <c r="E776" s="74">
        <v>1.8138000000000001</v>
      </c>
      <c r="F776" s="74">
        <v>0</v>
      </c>
      <c r="G776" s="74">
        <v>0</v>
      </c>
      <c r="H776" s="74">
        <v>0</v>
      </c>
      <c r="I776" s="74"/>
      <c r="J776" s="74">
        <v>0.36549664438520585</v>
      </c>
      <c r="K776" s="74">
        <v>8.1516644117292467E-2</v>
      </c>
      <c r="L776" s="74">
        <v>0</v>
      </c>
      <c r="M776" s="74">
        <v>0</v>
      </c>
      <c r="N776" s="74">
        <v>0</v>
      </c>
    </row>
    <row r="777" spans="1:14" x14ac:dyDescent="0.25">
      <c r="A777" t="e">
        <f>VLOOKUP(VALUE(RIGHT(B777,4)),'Waste Lookups'!$B$1:$C$295,2,FALSE)</f>
        <v>#N/A</v>
      </c>
      <c r="B777" s="74" t="s">
        <v>2303</v>
      </c>
      <c r="C777" s="74" t="s">
        <v>2304</v>
      </c>
      <c r="D777" s="74">
        <v>0</v>
      </c>
      <c r="E777" s="74">
        <v>1.5576000000000001</v>
      </c>
      <c r="F777" s="74">
        <v>0</v>
      </c>
      <c r="G777" s="74">
        <v>0</v>
      </c>
      <c r="H777" s="74">
        <v>0</v>
      </c>
      <c r="I777" s="74"/>
      <c r="J777" s="74">
        <v>0</v>
      </c>
      <c r="K777" s="74">
        <v>0</v>
      </c>
      <c r="L777" s="74">
        <v>0</v>
      </c>
      <c r="M777" s="74">
        <v>0</v>
      </c>
      <c r="N777" s="74">
        <v>0</v>
      </c>
    </row>
    <row r="778" spans="1:14" x14ac:dyDescent="0.25">
      <c r="A778" t="e">
        <f>VLOOKUP(VALUE(RIGHT(B778,4)),'Waste Lookups'!$B$1:$C$295,2,FALSE)</f>
        <v>#N/A</v>
      </c>
      <c r="B778" s="74" t="s">
        <v>2305</v>
      </c>
      <c r="C778" s="74" t="s">
        <v>2306</v>
      </c>
      <c r="D778" s="74">
        <v>0</v>
      </c>
      <c r="E778" s="74">
        <v>0.48936000000000002</v>
      </c>
      <c r="F778" s="74">
        <v>0</v>
      </c>
      <c r="G778" s="74">
        <v>0</v>
      </c>
      <c r="H778" s="74">
        <v>0</v>
      </c>
      <c r="I778" s="74"/>
      <c r="J778" s="74">
        <v>0</v>
      </c>
      <c r="K778" s="74">
        <v>0</v>
      </c>
      <c r="L778" s="74">
        <v>0</v>
      </c>
      <c r="M778" s="74">
        <v>0</v>
      </c>
      <c r="N778" s="74">
        <v>0</v>
      </c>
    </row>
    <row r="779" spans="1:14" x14ac:dyDescent="0.25">
      <c r="A779" t="e">
        <f>VLOOKUP(VALUE(RIGHT(B779,4)),'Waste Lookups'!$B$1:$C$295,2,FALSE)</f>
        <v>#N/A</v>
      </c>
      <c r="B779" s="74" t="s">
        <v>2307</v>
      </c>
      <c r="C779" s="74" t="s">
        <v>2308</v>
      </c>
      <c r="D779" s="74">
        <v>10.330424242424241</v>
      </c>
      <c r="E779" s="74">
        <v>0</v>
      </c>
      <c r="F779" s="74">
        <v>0</v>
      </c>
      <c r="G779" s="74">
        <v>0</v>
      </c>
      <c r="H779" s="74">
        <v>0</v>
      </c>
      <c r="I779" s="74"/>
      <c r="J779" s="74">
        <v>0</v>
      </c>
      <c r="K779" s="74">
        <v>0</v>
      </c>
      <c r="L779" s="74">
        <v>0</v>
      </c>
      <c r="M779" s="74">
        <v>0</v>
      </c>
      <c r="N779" s="74">
        <v>0</v>
      </c>
    </row>
    <row r="780" spans="1:14" x14ac:dyDescent="0.25">
      <c r="A780" t="e">
        <f>VLOOKUP(VALUE(RIGHT(B780,4)),'Waste Lookups'!$B$1:$C$295,2,FALSE)</f>
        <v>#N/A</v>
      </c>
      <c r="B780" s="74" t="s">
        <v>2309</v>
      </c>
      <c r="C780" s="74" t="s">
        <v>2310</v>
      </c>
      <c r="D780" s="74">
        <v>10.062060606060607</v>
      </c>
      <c r="E780" s="74">
        <v>0.52272000000000007</v>
      </c>
      <c r="F780" s="74">
        <v>0</v>
      </c>
      <c r="G780" s="74">
        <v>0</v>
      </c>
      <c r="H780" s="74">
        <v>0</v>
      </c>
      <c r="I780" s="74"/>
      <c r="J780" s="74">
        <v>0</v>
      </c>
      <c r="K780" s="74">
        <v>0</v>
      </c>
      <c r="L780" s="74">
        <v>0</v>
      </c>
      <c r="M780" s="74">
        <v>0</v>
      </c>
      <c r="N780" s="74">
        <v>0</v>
      </c>
    </row>
    <row r="781" spans="1:14" x14ac:dyDescent="0.25">
      <c r="A781" t="e">
        <f>VLOOKUP(VALUE(RIGHT(B781,4)),'Waste Lookups'!$B$1:$C$295,2,FALSE)</f>
        <v>#N/A</v>
      </c>
      <c r="B781" s="74" t="s">
        <v>2311</v>
      </c>
      <c r="C781" s="74" t="s">
        <v>2312</v>
      </c>
      <c r="D781" s="74">
        <v>35.289636363636369</v>
      </c>
      <c r="E781" s="74">
        <v>2.8016399999999999</v>
      </c>
      <c r="F781" s="74">
        <v>0</v>
      </c>
      <c r="G781" s="74">
        <v>0</v>
      </c>
      <c r="H781" s="74">
        <v>0</v>
      </c>
      <c r="I781" s="74"/>
      <c r="J781" s="74">
        <v>0</v>
      </c>
      <c r="K781" s="74">
        <v>0</v>
      </c>
      <c r="L781" s="74">
        <v>0</v>
      </c>
      <c r="M781" s="74">
        <v>0</v>
      </c>
      <c r="N781" s="74">
        <v>0</v>
      </c>
    </row>
    <row r="782" spans="1:14" x14ac:dyDescent="0.25">
      <c r="A782" t="e">
        <f>VLOOKUP(VALUE(RIGHT(B782,4)),'Waste Lookups'!$B$1:$C$295,2,FALSE)</f>
        <v>#N/A</v>
      </c>
      <c r="B782" s="74" t="s">
        <v>2313</v>
      </c>
      <c r="C782" s="74" t="s">
        <v>2314</v>
      </c>
      <c r="D782" s="74">
        <v>60.488666666666667</v>
      </c>
      <c r="E782" s="74">
        <v>1.2755399999999999</v>
      </c>
      <c r="F782" s="74">
        <v>0</v>
      </c>
      <c r="G782" s="74">
        <v>0</v>
      </c>
      <c r="H782" s="74">
        <v>0</v>
      </c>
      <c r="I782" s="74"/>
      <c r="J782" s="74">
        <v>1.2986690071553029</v>
      </c>
      <c r="K782" s="74">
        <v>2.738536583250099E-2</v>
      </c>
      <c r="L782" s="74">
        <v>0</v>
      </c>
      <c r="M782" s="74">
        <v>0</v>
      </c>
      <c r="N782" s="74">
        <v>0</v>
      </c>
    </row>
    <row r="783" spans="1:14" x14ac:dyDescent="0.25">
      <c r="A783" t="e">
        <f>VLOOKUP(VALUE(RIGHT(B783,4)),'Waste Lookups'!$B$1:$C$295,2,FALSE)</f>
        <v>#N/A</v>
      </c>
      <c r="B783" s="74" t="s">
        <v>2315</v>
      </c>
      <c r="C783" s="74" t="s">
        <v>2316</v>
      </c>
      <c r="D783" s="74">
        <v>5.9805454545454548</v>
      </c>
      <c r="E783" s="74">
        <v>0</v>
      </c>
      <c r="F783" s="74">
        <v>0</v>
      </c>
      <c r="G783" s="74">
        <v>0</v>
      </c>
      <c r="H783" s="74">
        <v>0</v>
      </c>
      <c r="I783" s="74"/>
      <c r="J783" s="74">
        <v>0</v>
      </c>
      <c r="K783" s="74">
        <v>0</v>
      </c>
      <c r="L783" s="74">
        <v>0</v>
      </c>
      <c r="M783" s="74">
        <v>0</v>
      </c>
      <c r="N783" s="74">
        <v>0</v>
      </c>
    </row>
    <row r="784" spans="1:14" x14ac:dyDescent="0.25">
      <c r="A784" t="e">
        <f>VLOOKUP(VALUE(RIGHT(B784,4)),'Waste Lookups'!$B$1:$C$295,2,FALSE)</f>
        <v>#N/A</v>
      </c>
      <c r="B784" s="74" t="s">
        <v>2317</v>
      </c>
      <c r="C784" s="74" t="s">
        <v>2318</v>
      </c>
      <c r="D784" s="74">
        <v>7.6431818181818176</v>
      </c>
      <c r="E784" s="74">
        <v>0.55943999999999994</v>
      </c>
      <c r="F784" s="74">
        <v>0</v>
      </c>
      <c r="G784" s="74">
        <v>0</v>
      </c>
      <c r="H784" s="74">
        <v>0</v>
      </c>
      <c r="I784" s="74"/>
      <c r="J784" s="74">
        <v>0</v>
      </c>
      <c r="K784" s="74">
        <v>0</v>
      </c>
      <c r="L784" s="74">
        <v>0</v>
      </c>
      <c r="M784" s="74">
        <v>0</v>
      </c>
      <c r="N784" s="74">
        <v>0</v>
      </c>
    </row>
    <row r="785" spans="1:14" x14ac:dyDescent="0.25">
      <c r="A785" t="e">
        <f>VLOOKUP(VALUE(RIGHT(B785,4)),'Waste Lookups'!$B$1:$C$295,2,FALSE)</f>
        <v>#N/A</v>
      </c>
      <c r="B785" s="74" t="s">
        <v>2319</v>
      </c>
      <c r="C785" s="74" t="s">
        <v>2320</v>
      </c>
      <c r="D785" s="74">
        <v>0.33193939393939392</v>
      </c>
      <c r="E785" s="74">
        <v>0</v>
      </c>
      <c r="F785" s="74">
        <v>0</v>
      </c>
      <c r="G785" s="74">
        <v>0</v>
      </c>
      <c r="H785" s="74">
        <v>0</v>
      </c>
      <c r="I785" s="74"/>
      <c r="J785" s="74">
        <v>0</v>
      </c>
      <c r="K785" s="74">
        <v>0</v>
      </c>
      <c r="L785" s="74">
        <v>0</v>
      </c>
      <c r="M785" s="74">
        <v>0</v>
      </c>
      <c r="N785" s="74">
        <v>0</v>
      </c>
    </row>
    <row r="786" spans="1:14" x14ac:dyDescent="0.25">
      <c r="A786" t="e">
        <f>VLOOKUP(VALUE(RIGHT(B786,4)),'Waste Lookups'!$B$1:$C$295,2,FALSE)</f>
        <v>#N/A</v>
      </c>
      <c r="B786" s="74" t="s">
        <v>2321</v>
      </c>
      <c r="C786" s="74" t="s">
        <v>2322</v>
      </c>
      <c r="D786" s="74">
        <v>0</v>
      </c>
      <c r="E786" s="74">
        <v>1.91316</v>
      </c>
      <c r="F786" s="74">
        <v>0.4363636363636364</v>
      </c>
      <c r="G786" s="74">
        <v>0</v>
      </c>
      <c r="H786" s="74">
        <v>0</v>
      </c>
      <c r="I786" s="74"/>
      <c r="J786" s="74">
        <v>0</v>
      </c>
      <c r="K786" s="74">
        <v>0</v>
      </c>
      <c r="L786" s="74">
        <v>0</v>
      </c>
      <c r="M786" s="74">
        <v>0</v>
      </c>
      <c r="N786" s="74">
        <v>0</v>
      </c>
    </row>
    <row r="787" spans="1:14" x14ac:dyDescent="0.25">
      <c r="A787" t="e">
        <f>VLOOKUP(VALUE(RIGHT(B787,4)),'Waste Lookups'!$B$1:$C$295,2,FALSE)</f>
        <v>#N/A</v>
      </c>
      <c r="B787" s="74" t="s">
        <v>2323</v>
      </c>
      <c r="C787" s="74" t="s">
        <v>2324</v>
      </c>
      <c r="D787" s="74">
        <v>3.1986666666666665</v>
      </c>
      <c r="E787" s="74">
        <v>0</v>
      </c>
      <c r="F787" s="74">
        <v>0</v>
      </c>
      <c r="G787" s="74">
        <v>0</v>
      </c>
      <c r="H787" s="74">
        <v>0</v>
      </c>
      <c r="I787" s="74"/>
      <c r="J787" s="74">
        <v>0</v>
      </c>
      <c r="K787" s="74">
        <v>0</v>
      </c>
      <c r="L787" s="74">
        <v>0</v>
      </c>
      <c r="M787" s="74">
        <v>0</v>
      </c>
      <c r="N787" s="74">
        <v>0</v>
      </c>
    </row>
    <row r="788" spans="1:14" x14ac:dyDescent="0.25">
      <c r="A788" t="e">
        <f>VLOOKUP(VALUE(RIGHT(B788,4)),'Waste Lookups'!$B$1:$C$295,2,FALSE)</f>
        <v>#N/A</v>
      </c>
      <c r="B788" s="74" t="s">
        <v>2325</v>
      </c>
      <c r="C788" s="74" t="s">
        <v>2326</v>
      </c>
      <c r="D788" s="74">
        <v>22.91539393939394</v>
      </c>
      <c r="E788" s="74">
        <v>3.4358399999999998</v>
      </c>
      <c r="F788" s="74">
        <v>0</v>
      </c>
      <c r="G788" s="74">
        <v>0</v>
      </c>
      <c r="H788" s="74">
        <v>0</v>
      </c>
      <c r="I788" s="74"/>
      <c r="J788" s="74">
        <v>0</v>
      </c>
      <c r="K788" s="74">
        <v>0</v>
      </c>
      <c r="L788" s="74">
        <v>0</v>
      </c>
      <c r="M788" s="74">
        <v>0</v>
      </c>
      <c r="N788" s="74">
        <v>0</v>
      </c>
    </row>
    <row r="789" spans="1:14" x14ac:dyDescent="0.25">
      <c r="A789" t="e">
        <f>VLOOKUP(VALUE(RIGHT(B789,4)),'Waste Lookups'!$B$1:$C$295,2,FALSE)</f>
        <v>#N/A</v>
      </c>
      <c r="B789" s="74" t="s">
        <v>2327</v>
      </c>
      <c r="C789" s="74" t="s">
        <v>2328</v>
      </c>
      <c r="D789" s="74">
        <v>11.445484848484849</v>
      </c>
      <c r="E789" s="74">
        <v>1.0765199999999997</v>
      </c>
      <c r="F789" s="74">
        <v>0</v>
      </c>
      <c r="G789" s="74">
        <v>0</v>
      </c>
      <c r="H789" s="74">
        <v>0</v>
      </c>
      <c r="I789" s="74"/>
      <c r="J789" s="74">
        <v>0</v>
      </c>
      <c r="K789" s="74">
        <v>0</v>
      </c>
      <c r="L789" s="74">
        <v>0</v>
      </c>
      <c r="M789" s="74">
        <v>0</v>
      </c>
      <c r="N789" s="74">
        <v>0</v>
      </c>
    </row>
    <row r="790" spans="1:14" x14ac:dyDescent="0.25">
      <c r="A790" t="e">
        <f>VLOOKUP(VALUE(RIGHT(B790,4)),'Waste Lookups'!$B$1:$C$295,2,FALSE)</f>
        <v>#N/A</v>
      </c>
      <c r="B790" s="74" t="s">
        <v>2329</v>
      </c>
      <c r="C790" s="74" t="s">
        <v>2330</v>
      </c>
      <c r="D790" s="74">
        <v>7.3384848484848479</v>
      </c>
      <c r="E790" s="74">
        <v>0.81101999999999985</v>
      </c>
      <c r="F790" s="74">
        <v>0</v>
      </c>
      <c r="G790" s="74">
        <v>0</v>
      </c>
      <c r="H790" s="74">
        <v>0</v>
      </c>
      <c r="I790" s="74"/>
      <c r="J790" s="74">
        <v>0</v>
      </c>
      <c r="K790" s="74">
        <v>0</v>
      </c>
      <c r="L790" s="74">
        <v>0</v>
      </c>
      <c r="M790" s="74">
        <v>0</v>
      </c>
      <c r="N790" s="74">
        <v>0</v>
      </c>
    </row>
    <row r="791" spans="1:14" x14ac:dyDescent="0.25">
      <c r="A791" t="e">
        <f>VLOOKUP(VALUE(RIGHT(B791,4)),'Waste Lookups'!$B$1:$C$295,2,FALSE)</f>
        <v>#N/A</v>
      </c>
      <c r="B791" s="74" t="s">
        <v>2331</v>
      </c>
      <c r="C791" s="74" t="s">
        <v>2332</v>
      </c>
      <c r="D791" s="74">
        <v>1.745848484848485</v>
      </c>
      <c r="E791" s="74">
        <v>0</v>
      </c>
      <c r="F791" s="74">
        <v>0</v>
      </c>
      <c r="G791" s="74">
        <v>0</v>
      </c>
      <c r="H791" s="74">
        <v>0</v>
      </c>
      <c r="I791" s="74"/>
      <c r="J791" s="74">
        <v>0</v>
      </c>
      <c r="K791" s="74">
        <v>0</v>
      </c>
      <c r="L791" s="74">
        <v>0</v>
      </c>
      <c r="M791" s="74">
        <v>0</v>
      </c>
      <c r="N791" s="74">
        <v>0</v>
      </c>
    </row>
    <row r="792" spans="1:14" x14ac:dyDescent="0.25">
      <c r="A792" t="e">
        <f>VLOOKUP(VALUE(RIGHT(B792,4)),'Waste Lookups'!$B$1:$C$295,2,FALSE)</f>
        <v>#N/A</v>
      </c>
      <c r="B792" s="74" t="s">
        <v>2333</v>
      </c>
      <c r="C792" s="74" t="s">
        <v>2334</v>
      </c>
      <c r="D792" s="74">
        <v>20.988787878787878</v>
      </c>
      <c r="E792" s="74">
        <v>2.1824400000000002</v>
      </c>
      <c r="F792" s="74">
        <v>0</v>
      </c>
      <c r="G792" s="74">
        <v>0</v>
      </c>
      <c r="H792" s="74">
        <v>0</v>
      </c>
      <c r="I792" s="74"/>
      <c r="J792" s="74">
        <v>0.71574540971883105</v>
      </c>
      <c r="K792" s="74">
        <v>7.4424088756714635E-2</v>
      </c>
      <c r="L792" s="74">
        <v>0</v>
      </c>
      <c r="M792" s="74">
        <v>0</v>
      </c>
      <c r="N792" s="74">
        <v>0</v>
      </c>
    </row>
    <row r="793" spans="1:14" x14ac:dyDescent="0.25">
      <c r="A793" t="e">
        <f>VLOOKUP(VALUE(RIGHT(B793,4)),'Waste Lookups'!$B$1:$C$295,2,FALSE)</f>
        <v>#N/A</v>
      </c>
      <c r="B793" s="74" t="s">
        <v>2335</v>
      </c>
      <c r="C793" s="74" t="s">
        <v>2336</v>
      </c>
      <c r="D793" s="74">
        <v>41.00960606060606</v>
      </c>
      <c r="E793" s="74">
        <v>3.3704999999999998</v>
      </c>
      <c r="F793" s="74">
        <v>0</v>
      </c>
      <c r="G793" s="74">
        <v>0</v>
      </c>
      <c r="H793" s="74">
        <v>0</v>
      </c>
      <c r="I793" s="74"/>
      <c r="J793" s="74">
        <v>0.23043485170543715</v>
      </c>
      <c r="K793" s="74">
        <v>1.8938993623234472E-2</v>
      </c>
      <c r="L793" s="74">
        <v>0</v>
      </c>
      <c r="M793" s="74">
        <v>0</v>
      </c>
      <c r="N793" s="74">
        <v>0</v>
      </c>
    </row>
    <row r="794" spans="1:14" x14ac:dyDescent="0.25">
      <c r="A794" t="e">
        <f>VLOOKUP(VALUE(RIGHT(B794,4)),'Waste Lookups'!$B$1:$C$295,2,FALSE)</f>
        <v>#N/A</v>
      </c>
      <c r="B794" s="74" t="s">
        <v>2337</v>
      </c>
      <c r="C794" s="74" t="s">
        <v>2338</v>
      </c>
      <c r="D794" s="74">
        <v>12.889969696969697</v>
      </c>
      <c r="E794" s="74">
        <v>1.9612799999999997</v>
      </c>
      <c r="F794" s="74">
        <v>0</v>
      </c>
      <c r="G794" s="74">
        <v>0</v>
      </c>
      <c r="H794" s="74">
        <v>0</v>
      </c>
      <c r="I794" s="74"/>
      <c r="J794" s="74">
        <v>0</v>
      </c>
      <c r="K794" s="74">
        <v>0</v>
      </c>
      <c r="L794" s="74">
        <v>0</v>
      </c>
      <c r="M794" s="74">
        <v>0</v>
      </c>
      <c r="N794" s="74">
        <v>0</v>
      </c>
    </row>
    <row r="795" spans="1:14" x14ac:dyDescent="0.25">
      <c r="A795" t="e">
        <f>VLOOKUP(VALUE(RIGHT(B795,4)),'Waste Lookups'!$B$1:$C$295,2,FALSE)</f>
        <v>#N/A</v>
      </c>
      <c r="B795" s="74" t="s">
        <v>2339</v>
      </c>
      <c r="C795" s="74" t="s">
        <v>2340</v>
      </c>
      <c r="D795" s="74">
        <v>15.008484848484848</v>
      </c>
      <c r="E795" s="74">
        <v>2.55396</v>
      </c>
      <c r="F795" s="74">
        <v>0</v>
      </c>
      <c r="G795" s="74">
        <v>0</v>
      </c>
      <c r="H795" s="74">
        <v>0</v>
      </c>
      <c r="I795" s="74"/>
      <c r="J795" s="74">
        <v>0</v>
      </c>
      <c r="K795" s="74">
        <v>0</v>
      </c>
      <c r="L795" s="74">
        <v>0</v>
      </c>
      <c r="M795" s="74">
        <v>0</v>
      </c>
      <c r="N795" s="74">
        <v>0</v>
      </c>
    </row>
    <row r="796" spans="1:14" x14ac:dyDescent="0.25">
      <c r="A796" t="e">
        <f>VLOOKUP(VALUE(RIGHT(B796,4)),'Waste Lookups'!$B$1:$C$295,2,FALSE)</f>
        <v>#N/A</v>
      </c>
      <c r="B796" s="74" t="s">
        <v>2341</v>
      </c>
      <c r="C796" s="74" t="s">
        <v>2342</v>
      </c>
      <c r="D796" s="74">
        <v>9.17030303030303</v>
      </c>
      <c r="E796" s="74">
        <v>0.51611999999999991</v>
      </c>
      <c r="F796" s="74">
        <v>0</v>
      </c>
      <c r="G796" s="74">
        <v>0</v>
      </c>
      <c r="H796" s="74">
        <v>0</v>
      </c>
      <c r="I796" s="74"/>
      <c r="J796" s="74">
        <v>0</v>
      </c>
      <c r="K796" s="74">
        <v>0</v>
      </c>
      <c r="L796" s="74">
        <v>0</v>
      </c>
      <c r="M796" s="74">
        <v>0</v>
      </c>
      <c r="N796" s="74">
        <v>0</v>
      </c>
    </row>
    <row r="797" spans="1:14" x14ac:dyDescent="0.25">
      <c r="A797" t="e">
        <f>VLOOKUP(VALUE(RIGHT(B797,4)),'Waste Lookups'!$B$1:$C$295,2,FALSE)</f>
        <v>#N/A</v>
      </c>
      <c r="B797" s="74" t="s">
        <v>2343</v>
      </c>
      <c r="C797" s="74" t="s">
        <v>2344</v>
      </c>
      <c r="D797" s="74">
        <v>8.6728181818181813</v>
      </c>
      <c r="E797" s="74">
        <v>1.5938399999999997</v>
      </c>
      <c r="F797" s="74">
        <v>0</v>
      </c>
      <c r="G797" s="74">
        <v>0</v>
      </c>
      <c r="H797" s="74">
        <v>0</v>
      </c>
      <c r="I797" s="74"/>
      <c r="J797" s="74">
        <v>2.5859815070004188</v>
      </c>
      <c r="K797" s="74">
        <v>0.47523661613917062</v>
      </c>
      <c r="L797" s="74">
        <v>0</v>
      </c>
      <c r="M797" s="74">
        <v>0</v>
      </c>
      <c r="N797" s="74">
        <v>0</v>
      </c>
    </row>
    <row r="798" spans="1:14" x14ac:dyDescent="0.25">
      <c r="A798" t="e">
        <f>VLOOKUP(VALUE(RIGHT(B798,4)),'Waste Lookups'!$B$1:$C$295,2,FALSE)</f>
        <v>#N/A</v>
      </c>
      <c r="B798" s="74" t="s">
        <v>2345</v>
      </c>
      <c r="C798" s="74" t="s">
        <v>2346</v>
      </c>
      <c r="D798" s="74">
        <v>14.356424242424241</v>
      </c>
      <c r="E798" s="74">
        <v>0</v>
      </c>
      <c r="F798" s="74">
        <v>0</v>
      </c>
      <c r="G798" s="74">
        <v>0</v>
      </c>
      <c r="H798" s="74">
        <v>0.80147032143561436</v>
      </c>
      <c r="I798" s="74"/>
      <c r="J798" s="74">
        <v>3.9920042645907508</v>
      </c>
      <c r="K798" s="74">
        <v>0</v>
      </c>
      <c r="L798" s="74">
        <v>0</v>
      </c>
      <c r="M798" s="74">
        <v>0</v>
      </c>
      <c r="N798" s="74">
        <v>0.22286001633047492</v>
      </c>
    </row>
    <row r="799" spans="1:14" x14ac:dyDescent="0.25">
      <c r="A799" t="e">
        <f>VLOOKUP(VALUE(RIGHT(B799,4)),'Waste Lookups'!$B$1:$C$295,2,FALSE)</f>
        <v>#N/A</v>
      </c>
      <c r="B799" s="74" t="s">
        <v>2347</v>
      </c>
      <c r="C799" s="74" t="s">
        <v>2348</v>
      </c>
      <c r="D799" s="74">
        <v>15.27769696969697</v>
      </c>
      <c r="E799" s="74">
        <v>1.0038</v>
      </c>
      <c r="F799" s="74">
        <v>0</v>
      </c>
      <c r="G799" s="74">
        <v>0</v>
      </c>
      <c r="H799" s="74">
        <v>0.65304989154013016</v>
      </c>
      <c r="I799" s="74"/>
      <c r="J799" s="74">
        <v>8.0048067072631941</v>
      </c>
      <c r="K799" s="74">
        <v>0.52594478007310363</v>
      </c>
      <c r="L799" s="74">
        <v>0</v>
      </c>
      <c r="M799" s="74">
        <v>0</v>
      </c>
      <c r="N799" s="74">
        <v>0.34216794339792578</v>
      </c>
    </row>
    <row r="800" spans="1:14" x14ac:dyDescent="0.25">
      <c r="A800" t="e">
        <f>VLOOKUP(VALUE(RIGHT(B800,4)),'Waste Lookups'!$B$1:$C$295,2,FALSE)</f>
        <v>#N/A</v>
      </c>
      <c r="B800" s="74" t="s">
        <v>2349</v>
      </c>
      <c r="C800" s="74" t="s">
        <v>2350</v>
      </c>
      <c r="D800" s="74">
        <v>16.666666666666668</v>
      </c>
      <c r="E800" s="74">
        <v>0</v>
      </c>
      <c r="F800" s="74">
        <v>0</v>
      </c>
      <c r="G800" s="74">
        <v>0</v>
      </c>
      <c r="H800" s="74">
        <v>0</v>
      </c>
      <c r="I800" s="74"/>
      <c r="J800" s="74">
        <v>9.5588055555555567</v>
      </c>
      <c r="K800" s="74">
        <v>0</v>
      </c>
      <c r="L800" s="74">
        <v>0</v>
      </c>
      <c r="M800" s="74">
        <v>0</v>
      </c>
      <c r="N800" s="74">
        <v>0</v>
      </c>
    </row>
    <row r="801" spans="1:14" x14ac:dyDescent="0.25">
      <c r="A801" t="e">
        <f>VLOOKUP(VALUE(RIGHT(B801,4)),'Waste Lookups'!$B$1:$C$295,2,FALSE)</f>
        <v>#N/A</v>
      </c>
      <c r="B801" s="74" t="s">
        <v>2351</v>
      </c>
      <c r="C801" s="74" t="s">
        <v>2352</v>
      </c>
      <c r="D801" s="74">
        <v>16.666666666666668</v>
      </c>
      <c r="E801" s="74">
        <v>0</v>
      </c>
      <c r="F801" s="74">
        <v>0</v>
      </c>
      <c r="G801" s="74">
        <v>0</v>
      </c>
      <c r="H801" s="74">
        <v>0</v>
      </c>
      <c r="I801" s="74"/>
      <c r="J801" s="74">
        <v>31.973805555555554</v>
      </c>
      <c r="K801" s="74">
        <v>0</v>
      </c>
      <c r="L801" s="74">
        <v>0</v>
      </c>
      <c r="M801" s="74">
        <v>0</v>
      </c>
      <c r="N801" s="74">
        <v>0</v>
      </c>
    </row>
    <row r="802" spans="1:14" x14ac:dyDescent="0.25">
      <c r="A802" t="e">
        <f>VLOOKUP(VALUE(RIGHT(B802,4)),'Waste Lookups'!$B$1:$C$295,2,FALSE)</f>
        <v>#N/A</v>
      </c>
      <c r="B802" s="74" t="s">
        <v>2353</v>
      </c>
      <c r="C802" s="74" t="s">
        <v>2354</v>
      </c>
      <c r="D802" s="74">
        <v>16.666666666666668</v>
      </c>
      <c r="E802" s="74">
        <v>0</v>
      </c>
      <c r="F802" s="74">
        <v>0</v>
      </c>
      <c r="G802" s="74">
        <v>0</v>
      </c>
      <c r="H802" s="74">
        <v>0</v>
      </c>
      <c r="I802" s="74"/>
      <c r="J802" s="74">
        <v>24.285777777777778</v>
      </c>
      <c r="K802" s="74">
        <v>0</v>
      </c>
      <c r="L802" s="74">
        <v>0</v>
      </c>
      <c r="M802" s="74">
        <v>0</v>
      </c>
      <c r="N802" s="74">
        <v>0</v>
      </c>
    </row>
    <row r="803" spans="1:14" x14ac:dyDescent="0.25">
      <c r="A803" t="e">
        <f>VLOOKUP(VALUE(RIGHT(B803,4)),'Waste Lookups'!$B$1:$C$295,2,FALSE)</f>
        <v>#N/A</v>
      </c>
      <c r="B803" s="74" t="s">
        <v>2355</v>
      </c>
      <c r="C803" s="74" t="s">
        <v>2356</v>
      </c>
      <c r="D803" s="74">
        <v>22.22221212121212</v>
      </c>
      <c r="E803" s="74">
        <v>0</v>
      </c>
      <c r="F803" s="74">
        <v>0</v>
      </c>
      <c r="G803" s="74">
        <v>0</v>
      </c>
      <c r="H803" s="74">
        <v>0</v>
      </c>
      <c r="I803" s="74"/>
      <c r="J803" s="74">
        <v>7.222027777777777</v>
      </c>
      <c r="K803" s="74">
        <v>0</v>
      </c>
      <c r="L803" s="74">
        <v>0</v>
      </c>
      <c r="M803" s="74">
        <v>0</v>
      </c>
      <c r="N803" s="74">
        <v>0</v>
      </c>
    </row>
    <row r="804" spans="1:14" x14ac:dyDescent="0.25">
      <c r="A804" t="e">
        <f>VLOOKUP(VALUE(RIGHT(B804,4)),'Waste Lookups'!$B$1:$C$295,2,FALSE)</f>
        <v>#N/A</v>
      </c>
      <c r="B804" s="74" t="s">
        <v>2357</v>
      </c>
      <c r="C804" s="74" t="s">
        <v>2358</v>
      </c>
      <c r="D804" s="74">
        <v>15.27778787878788</v>
      </c>
      <c r="E804" s="74">
        <v>1.242</v>
      </c>
      <c r="F804" s="74">
        <v>0</v>
      </c>
      <c r="G804" s="74">
        <v>0.67499999999999993</v>
      </c>
      <c r="H804" s="74">
        <v>0</v>
      </c>
      <c r="I804" s="74"/>
      <c r="J804" s="74">
        <v>0</v>
      </c>
      <c r="K804" s="74">
        <v>0</v>
      </c>
      <c r="L804" s="74">
        <v>0</v>
      </c>
      <c r="M804" s="74">
        <v>0</v>
      </c>
      <c r="N804" s="74">
        <v>0</v>
      </c>
    </row>
    <row r="805" spans="1:14" x14ac:dyDescent="0.25">
      <c r="A805" t="e">
        <f>VLOOKUP(VALUE(RIGHT(B805,4)),'Waste Lookups'!$B$1:$C$295,2,FALSE)</f>
        <v>#N/A</v>
      </c>
      <c r="B805" s="74" t="s">
        <v>2359</v>
      </c>
      <c r="C805" s="74" t="s">
        <v>2360</v>
      </c>
      <c r="D805" s="74">
        <v>15.27778787878788</v>
      </c>
      <c r="E805" s="74">
        <v>0</v>
      </c>
      <c r="F805" s="74">
        <v>0</v>
      </c>
      <c r="G805" s="74">
        <v>0</v>
      </c>
      <c r="H805" s="74">
        <v>0</v>
      </c>
      <c r="I805" s="74"/>
      <c r="J805" s="74">
        <v>1.5071666666666668</v>
      </c>
      <c r="K805" s="74">
        <v>0</v>
      </c>
      <c r="L805" s="74">
        <v>0</v>
      </c>
      <c r="M805" s="74">
        <v>0</v>
      </c>
      <c r="N805" s="74">
        <v>0</v>
      </c>
    </row>
    <row r="806" spans="1:14" x14ac:dyDescent="0.25">
      <c r="A806" t="e">
        <f>VLOOKUP(VALUE(RIGHT(B806,4)),'Waste Lookups'!$B$1:$C$295,2,FALSE)</f>
        <v>#N/A</v>
      </c>
      <c r="B806" s="74" t="s">
        <v>2361</v>
      </c>
      <c r="C806" s="74" t="s">
        <v>2362</v>
      </c>
      <c r="D806" s="74">
        <v>15.27778787878788</v>
      </c>
      <c r="E806" s="74">
        <v>2.9761199999999999</v>
      </c>
      <c r="F806" s="74">
        <v>0</v>
      </c>
      <c r="G806" s="74">
        <v>0</v>
      </c>
      <c r="H806" s="74">
        <v>1.2022054821534216</v>
      </c>
      <c r="I806" s="74"/>
      <c r="J806" s="74">
        <v>5.1758480285396544</v>
      </c>
      <c r="K806" s="74">
        <v>1.0082575407454581</v>
      </c>
      <c r="L806" s="74">
        <v>0</v>
      </c>
      <c r="M806" s="74">
        <v>0</v>
      </c>
      <c r="N806" s="74">
        <v>0.40728624615496573</v>
      </c>
    </row>
    <row r="807" spans="1:14" x14ac:dyDescent="0.25">
      <c r="A807" t="str">
        <f>VLOOKUP(VALUE(RIGHT(B807,4)),'Waste Lookups'!$B$1:$C$295,2,FALSE)</f>
        <v>Sandwell HQ</v>
      </c>
      <c r="B807" s="74" t="s">
        <v>652</v>
      </c>
      <c r="C807" s="74" t="s">
        <v>2363</v>
      </c>
      <c r="D807" s="74">
        <v>16.666666666666668</v>
      </c>
      <c r="E807" s="74">
        <v>0</v>
      </c>
      <c r="F807" s="74">
        <v>0</v>
      </c>
      <c r="G807" s="74">
        <v>0</v>
      </c>
      <c r="H807" s="74">
        <v>0</v>
      </c>
      <c r="I807" s="74"/>
      <c r="J807" s="74">
        <v>12.35952777777778</v>
      </c>
      <c r="K807" s="74">
        <v>0</v>
      </c>
      <c r="L807" s="74">
        <v>0</v>
      </c>
      <c r="M807" s="74">
        <v>0</v>
      </c>
      <c r="N807" s="74">
        <v>0</v>
      </c>
    </row>
    <row r="808" spans="1:14" x14ac:dyDescent="0.25">
      <c r="A808" t="str">
        <f>VLOOKUP(VALUE(RIGHT(B808,4)),'Waste Lookups'!$B$1:$C$295,2,FALSE)</f>
        <v>Lyng Centre for Health and Social Care</v>
      </c>
      <c r="B808" s="74" t="s">
        <v>2364</v>
      </c>
      <c r="C808" s="74" t="s">
        <v>2365</v>
      </c>
      <c r="D808" s="74">
        <v>97.222212121212138</v>
      </c>
      <c r="E808" s="74">
        <v>39.344459999999998</v>
      </c>
      <c r="F808" s="74">
        <v>0</v>
      </c>
      <c r="G808" s="74">
        <v>0</v>
      </c>
      <c r="H808" s="74">
        <v>9.3504870834155014</v>
      </c>
      <c r="I808" s="74"/>
      <c r="J808" s="74">
        <v>119.64210056318551</v>
      </c>
      <c r="K808" s="74">
        <v>48.417473098178881</v>
      </c>
      <c r="L808" s="74">
        <v>0</v>
      </c>
      <c r="M808" s="74">
        <v>0</v>
      </c>
      <c r="N808" s="74">
        <v>11.50675233097974</v>
      </c>
    </row>
    <row r="809" spans="1:14" x14ac:dyDescent="0.25">
      <c r="A809" t="e">
        <f>VLOOKUP(VALUE(RIGHT(B809,4)),'Waste Lookups'!$B$1:$C$295,2,FALSE)</f>
        <v>#N/A</v>
      </c>
      <c r="B809" s="74" t="s">
        <v>2366</v>
      </c>
      <c r="C809" s="74" t="s">
        <v>2367</v>
      </c>
      <c r="D809" s="74">
        <v>55</v>
      </c>
      <c r="E809" s="74">
        <v>3.8782199999999998</v>
      </c>
      <c r="F809" s="74">
        <v>0</v>
      </c>
      <c r="G809" s="74">
        <v>0</v>
      </c>
      <c r="H809" s="74">
        <v>0.25231473082232303</v>
      </c>
      <c r="I809" s="74"/>
      <c r="J809" s="74">
        <v>7.5591479791451528</v>
      </c>
      <c r="K809" s="74">
        <v>0.53301888864873281</v>
      </c>
      <c r="L809" s="74">
        <v>0</v>
      </c>
      <c r="M809" s="74">
        <v>0</v>
      </c>
      <c r="N809" s="74">
        <v>3.4677897956438462E-2</v>
      </c>
    </row>
    <row r="810" spans="1:14" x14ac:dyDescent="0.25">
      <c r="A810" t="e">
        <f>VLOOKUP(VALUE(RIGHT(B810,4)),'Waste Lookups'!$B$1:$C$295,2,FALSE)</f>
        <v>#N/A</v>
      </c>
      <c r="B810" s="74" t="s">
        <v>2368</v>
      </c>
      <c r="C810" s="74" t="s">
        <v>2369</v>
      </c>
      <c r="D810" s="74">
        <v>9.7862727272727277</v>
      </c>
      <c r="E810" s="74">
        <v>0</v>
      </c>
      <c r="F810" s="74">
        <v>0</v>
      </c>
      <c r="G810" s="74">
        <v>0</v>
      </c>
      <c r="H810" s="74">
        <v>0</v>
      </c>
      <c r="I810" s="74"/>
      <c r="J810" s="74">
        <v>0</v>
      </c>
      <c r="K810" s="74">
        <v>0</v>
      </c>
      <c r="L810" s="74">
        <v>0</v>
      </c>
      <c r="M810" s="74">
        <v>0</v>
      </c>
      <c r="N810" s="74">
        <v>0</v>
      </c>
    </row>
    <row r="811" spans="1:14" x14ac:dyDescent="0.25">
      <c r="A811" t="e">
        <f>VLOOKUP(VALUE(RIGHT(B811,4)),'Waste Lookups'!$B$1:$C$295,2,FALSE)</f>
        <v>#N/A</v>
      </c>
      <c r="B811" s="74" t="s">
        <v>2370</v>
      </c>
      <c r="C811" s="74" t="s">
        <v>2371</v>
      </c>
      <c r="D811" s="74">
        <v>40.555545454545452</v>
      </c>
      <c r="E811" s="74">
        <v>15.733319999999999</v>
      </c>
      <c r="F811" s="74">
        <v>0</v>
      </c>
      <c r="G811" s="74">
        <v>0</v>
      </c>
      <c r="H811" s="74">
        <v>0.65304989154013016</v>
      </c>
      <c r="I811" s="74"/>
      <c r="J811" s="74">
        <v>20.781141771995433</v>
      </c>
      <c r="K811" s="74">
        <v>8.0619394906332342</v>
      </c>
      <c r="L811" s="74">
        <v>0</v>
      </c>
      <c r="M811" s="74">
        <v>0</v>
      </c>
      <c r="N811" s="74">
        <v>0.33463049820134128</v>
      </c>
    </row>
    <row r="812" spans="1:14" x14ac:dyDescent="0.25">
      <c r="A812" t="e">
        <f>VLOOKUP(VALUE(RIGHT(B812,4)),'Waste Lookups'!$B$1:$C$295,2,FALSE)</f>
        <v>#N/A</v>
      </c>
      <c r="B812" s="74" t="s">
        <v>2372</v>
      </c>
      <c r="C812" s="74" t="s">
        <v>2373</v>
      </c>
      <c r="D812" s="74">
        <v>9.3976969696969697</v>
      </c>
      <c r="E812" s="74">
        <v>10.690739999999998</v>
      </c>
      <c r="F812" s="74">
        <v>0</v>
      </c>
      <c r="G812" s="74">
        <v>0</v>
      </c>
      <c r="H812" s="74">
        <v>0</v>
      </c>
      <c r="I812" s="74"/>
      <c r="J812" s="74">
        <v>5.7052776531966591</v>
      </c>
      <c r="K812" s="74">
        <v>6.4902752466706115</v>
      </c>
      <c r="L812" s="74">
        <v>0</v>
      </c>
      <c r="M812" s="74">
        <v>0</v>
      </c>
      <c r="N812" s="74">
        <v>0</v>
      </c>
    </row>
    <row r="813" spans="1:14" x14ac:dyDescent="0.25">
      <c r="A813" t="e">
        <f>VLOOKUP(VALUE(RIGHT(B813,4)),'Waste Lookups'!$B$1:$C$295,2,FALSE)</f>
        <v>#N/A</v>
      </c>
      <c r="B813" s="74" t="s">
        <v>2374</v>
      </c>
      <c r="C813" s="74" t="s">
        <v>2375</v>
      </c>
      <c r="D813" s="74">
        <v>16.388878787878788</v>
      </c>
      <c r="E813" s="74">
        <v>1.8882000000000001</v>
      </c>
      <c r="F813" s="74">
        <v>0</v>
      </c>
      <c r="G813" s="74">
        <v>0</v>
      </c>
      <c r="H813" s="74">
        <v>0</v>
      </c>
      <c r="I813" s="74"/>
      <c r="J813" s="74">
        <v>5.336507014883531</v>
      </c>
      <c r="K813" s="74">
        <v>0.61483111053061057</v>
      </c>
      <c r="L813" s="74">
        <v>0</v>
      </c>
      <c r="M813" s="74">
        <v>0</v>
      </c>
      <c r="N813" s="74">
        <v>0</v>
      </c>
    </row>
    <row r="814" spans="1:14" x14ac:dyDescent="0.25">
      <c r="A814" t="e">
        <f>VLOOKUP(VALUE(RIGHT(B814,4)),'Waste Lookups'!$B$1:$C$295,2,FALSE)</f>
        <v>#N/A</v>
      </c>
      <c r="B814" s="74" t="s">
        <v>2376</v>
      </c>
      <c r="C814" s="74" t="s">
        <v>2377</v>
      </c>
      <c r="D814" s="74">
        <v>19.444454545454548</v>
      </c>
      <c r="E814" s="74">
        <v>0.71213999999999988</v>
      </c>
      <c r="F814" s="74">
        <v>0</v>
      </c>
      <c r="G814" s="74">
        <v>0</v>
      </c>
      <c r="H814" s="74">
        <v>0</v>
      </c>
      <c r="I814" s="74"/>
      <c r="J814" s="74">
        <v>7.2152605857468703</v>
      </c>
      <c r="K814" s="74">
        <v>0.26425404022119664</v>
      </c>
      <c r="L814" s="74">
        <v>0</v>
      </c>
      <c r="M814" s="74">
        <v>0</v>
      </c>
      <c r="N814" s="74">
        <v>0</v>
      </c>
    </row>
    <row r="815" spans="1:14" x14ac:dyDescent="0.25">
      <c r="A815" t="e">
        <f>VLOOKUP(VALUE(RIGHT(B815,4)),'Waste Lookups'!$B$1:$C$295,2,FALSE)</f>
        <v>#N/A</v>
      </c>
      <c r="B815" s="74" t="s">
        <v>2378</v>
      </c>
      <c r="C815" s="74" t="s">
        <v>2379</v>
      </c>
      <c r="D815" s="74">
        <v>0.26472727272727276</v>
      </c>
      <c r="E815" s="74">
        <v>0</v>
      </c>
      <c r="F815" s="74">
        <v>0</v>
      </c>
      <c r="G815" s="74">
        <v>0</v>
      </c>
      <c r="H815" s="74">
        <v>0</v>
      </c>
      <c r="I815" s="74"/>
      <c r="J815" s="74">
        <v>0</v>
      </c>
      <c r="K815" s="74">
        <v>0</v>
      </c>
      <c r="L815" s="74">
        <v>0</v>
      </c>
      <c r="M815" s="74">
        <v>0</v>
      </c>
      <c r="N815" s="74">
        <v>0</v>
      </c>
    </row>
    <row r="816" spans="1:14" x14ac:dyDescent="0.25">
      <c r="A816" t="e">
        <f>VLOOKUP(VALUE(RIGHT(B816,4)),'Waste Lookups'!$B$1:$C$295,2,FALSE)</f>
        <v>#N/A</v>
      </c>
      <c r="B816" s="74" t="s">
        <v>2380</v>
      </c>
      <c r="C816" s="74" t="s">
        <v>2381</v>
      </c>
      <c r="D816" s="74">
        <v>9.8715757575757586</v>
      </c>
      <c r="E816" s="74">
        <v>3.2461799999999994</v>
      </c>
      <c r="F816" s="74">
        <v>0</v>
      </c>
      <c r="G816" s="74">
        <v>0</v>
      </c>
      <c r="H816" s="74">
        <v>0</v>
      </c>
      <c r="I816" s="74"/>
      <c r="J816" s="74">
        <v>3.7012377926661078</v>
      </c>
      <c r="K816" s="74">
        <v>1.217119170521106</v>
      </c>
      <c r="L816" s="74">
        <v>0</v>
      </c>
      <c r="M816" s="74">
        <v>0</v>
      </c>
      <c r="N816" s="74">
        <v>0</v>
      </c>
    </row>
    <row r="817" spans="1:14" x14ac:dyDescent="0.25">
      <c r="A817" t="e">
        <f>VLOOKUP(VALUE(RIGHT(B817,4)),'Waste Lookups'!$B$1:$C$295,2,FALSE)</f>
        <v>#N/A</v>
      </c>
      <c r="B817" s="74" t="s">
        <v>2382</v>
      </c>
      <c r="C817" s="74" t="s">
        <v>2383</v>
      </c>
      <c r="D817" s="74">
        <v>34.774999999999999</v>
      </c>
      <c r="E817" s="74">
        <v>7.5533400000000013</v>
      </c>
      <c r="F817" s="74">
        <v>0</v>
      </c>
      <c r="G817" s="74">
        <v>0</v>
      </c>
      <c r="H817" s="74">
        <v>1.7810451587458094</v>
      </c>
      <c r="I817" s="74"/>
      <c r="J817" s="74">
        <v>14.360415142760658</v>
      </c>
      <c r="K817" s="74">
        <v>3.1191688889840341</v>
      </c>
      <c r="L817" s="74">
        <v>0</v>
      </c>
      <c r="M817" s="74">
        <v>0</v>
      </c>
      <c r="N817" s="74">
        <v>0.73548663889558263</v>
      </c>
    </row>
    <row r="818" spans="1:14" x14ac:dyDescent="0.25">
      <c r="A818" t="e">
        <f>VLOOKUP(VALUE(RIGHT(B818,4)),'Waste Lookups'!$B$1:$C$295,2,FALSE)</f>
        <v>#N/A</v>
      </c>
      <c r="B818" s="74" t="s">
        <v>2384</v>
      </c>
      <c r="C818" s="74" t="s">
        <v>2385</v>
      </c>
      <c r="D818" s="74">
        <v>46.508787878787878</v>
      </c>
      <c r="E818" s="74">
        <v>1.49214</v>
      </c>
      <c r="F818" s="74">
        <v>0</v>
      </c>
      <c r="G818" s="74">
        <v>0</v>
      </c>
      <c r="H818" s="74">
        <v>0</v>
      </c>
      <c r="I818" s="74"/>
      <c r="J818" s="74">
        <v>3.0105517979678029</v>
      </c>
      <c r="K818" s="74">
        <v>9.6587440023748777E-2</v>
      </c>
      <c r="L818" s="74">
        <v>0</v>
      </c>
      <c r="M818" s="74">
        <v>0</v>
      </c>
      <c r="N818" s="74">
        <v>0</v>
      </c>
    </row>
    <row r="819" spans="1:14" x14ac:dyDescent="0.25">
      <c r="A819" t="e">
        <f>VLOOKUP(VALUE(RIGHT(B819,4)),'Waste Lookups'!$B$1:$C$295,2,FALSE)</f>
        <v>#N/A</v>
      </c>
      <c r="B819" s="74" t="s">
        <v>2386</v>
      </c>
      <c r="C819" s="74" t="s">
        <v>2387</v>
      </c>
      <c r="D819" s="74">
        <v>8.4610909090909097</v>
      </c>
      <c r="E819" s="74">
        <v>0.74609999999999999</v>
      </c>
      <c r="F819" s="74">
        <v>0</v>
      </c>
      <c r="G819" s="74">
        <v>0</v>
      </c>
      <c r="H819" s="74">
        <v>0</v>
      </c>
      <c r="I819" s="74"/>
      <c r="J819" s="74">
        <v>1.9357356566581294</v>
      </c>
      <c r="K819" s="74">
        <v>0.17069339981690446</v>
      </c>
      <c r="L819" s="74">
        <v>0</v>
      </c>
      <c r="M819" s="74">
        <v>0</v>
      </c>
      <c r="N819" s="74">
        <v>0</v>
      </c>
    </row>
    <row r="820" spans="1:14" x14ac:dyDescent="0.25">
      <c r="A820" t="e">
        <f>VLOOKUP(VALUE(RIGHT(B820,4)),'Waste Lookups'!$B$1:$C$295,2,FALSE)</f>
        <v>#N/A</v>
      </c>
      <c r="B820" s="74" t="s">
        <v>2388</v>
      </c>
      <c r="C820" s="74" t="s">
        <v>2389</v>
      </c>
      <c r="D820" s="74">
        <v>0</v>
      </c>
      <c r="E820" s="74">
        <v>0.37440000000000001</v>
      </c>
      <c r="F820" s="74">
        <v>0</v>
      </c>
      <c r="G820" s="74">
        <v>0</v>
      </c>
      <c r="H820" s="74">
        <v>0</v>
      </c>
      <c r="I820" s="74"/>
      <c r="J820" s="74">
        <v>0</v>
      </c>
      <c r="K820" s="74">
        <v>0</v>
      </c>
      <c r="L820" s="74">
        <v>0</v>
      </c>
      <c r="M820" s="74">
        <v>0</v>
      </c>
      <c r="N820" s="74">
        <v>0</v>
      </c>
    </row>
    <row r="821" spans="1:14" x14ac:dyDescent="0.25">
      <c r="A821" t="e">
        <f>VLOOKUP(VALUE(RIGHT(B821,4)),'Waste Lookups'!$B$1:$C$295,2,FALSE)</f>
        <v>#N/A</v>
      </c>
      <c r="B821" s="74" t="s">
        <v>2390</v>
      </c>
      <c r="C821" s="74" t="s">
        <v>2391</v>
      </c>
      <c r="D821" s="74">
        <v>12.559727272727274</v>
      </c>
      <c r="E821" s="74">
        <v>0.66354000000000013</v>
      </c>
      <c r="F821" s="74">
        <v>0</v>
      </c>
      <c r="G821" s="74">
        <v>0</v>
      </c>
      <c r="H821" s="74">
        <v>0</v>
      </c>
      <c r="I821" s="74"/>
      <c r="J821" s="74">
        <v>0</v>
      </c>
      <c r="K821" s="74">
        <v>0</v>
      </c>
      <c r="L821" s="74">
        <v>0</v>
      </c>
      <c r="M821" s="74">
        <v>0</v>
      </c>
      <c r="N821" s="74">
        <v>0</v>
      </c>
    </row>
    <row r="822" spans="1:14" x14ac:dyDescent="0.25">
      <c r="A822" t="e">
        <f>VLOOKUP(VALUE(RIGHT(B822,4)),'Waste Lookups'!$B$1:$C$295,2,FALSE)</f>
        <v>#N/A</v>
      </c>
      <c r="B822" s="74" t="s">
        <v>2392</v>
      </c>
      <c r="C822" s="74" t="s">
        <v>2393</v>
      </c>
      <c r="D822" s="74">
        <v>13.266848484848488</v>
      </c>
      <c r="E822" s="74">
        <v>0.66354000000000013</v>
      </c>
      <c r="F822" s="74">
        <v>0</v>
      </c>
      <c r="G822" s="74">
        <v>0</v>
      </c>
      <c r="H822" s="74">
        <v>0</v>
      </c>
      <c r="I822" s="74"/>
      <c r="J822" s="74">
        <v>0</v>
      </c>
      <c r="K822" s="74">
        <v>0</v>
      </c>
      <c r="L822" s="74">
        <v>0</v>
      </c>
      <c r="M822" s="74">
        <v>0</v>
      </c>
      <c r="N822" s="74">
        <v>0</v>
      </c>
    </row>
    <row r="823" spans="1:14" x14ac:dyDescent="0.25">
      <c r="A823" t="e">
        <f>VLOOKUP(VALUE(RIGHT(B823,4)),'Waste Lookups'!$B$1:$C$295,2,FALSE)</f>
        <v>#N/A</v>
      </c>
      <c r="B823" s="74" t="s">
        <v>2394</v>
      </c>
      <c r="C823" s="74" t="s">
        <v>2395</v>
      </c>
      <c r="D823" s="74">
        <v>18.239757575757576</v>
      </c>
      <c r="E823" s="74">
        <v>1.4745599999999996</v>
      </c>
      <c r="F823" s="74">
        <v>0</v>
      </c>
      <c r="G823" s="74">
        <v>0</v>
      </c>
      <c r="H823" s="74">
        <v>0</v>
      </c>
      <c r="I823" s="74"/>
      <c r="J823" s="74">
        <v>0.33627012807906936</v>
      </c>
      <c r="K823" s="74">
        <v>2.7185146403442675E-2</v>
      </c>
      <c r="L823" s="74">
        <v>0</v>
      </c>
      <c r="M823" s="74">
        <v>0</v>
      </c>
      <c r="N823" s="74">
        <v>0</v>
      </c>
    </row>
    <row r="824" spans="1:14" x14ac:dyDescent="0.25">
      <c r="A824" t="str">
        <f>VLOOKUP(VALUE(RIGHT(B824,4)),'Waste Lookups'!$B$1:$C$295,2,FALSE)</f>
        <v>Shirley Road Health Centre</v>
      </c>
      <c r="B824" s="74" t="s">
        <v>653</v>
      </c>
      <c r="C824" s="74" t="s">
        <v>2396</v>
      </c>
      <c r="D824" s="74">
        <v>19.05587878787879</v>
      </c>
      <c r="E824" s="74">
        <v>0.58979999999999988</v>
      </c>
      <c r="F824" s="74">
        <v>0</v>
      </c>
      <c r="G824" s="74">
        <v>0</v>
      </c>
      <c r="H824" s="74">
        <v>0</v>
      </c>
      <c r="I824" s="74"/>
      <c r="J824" s="74">
        <v>0</v>
      </c>
      <c r="K824" s="74">
        <v>0</v>
      </c>
      <c r="L824" s="74">
        <v>0</v>
      </c>
      <c r="M824" s="74">
        <v>0</v>
      </c>
      <c r="N824" s="74">
        <v>0</v>
      </c>
    </row>
    <row r="825" spans="1:14" x14ac:dyDescent="0.25">
      <c r="A825" t="e">
        <f>VLOOKUP(VALUE(RIGHT(B825,4)),'Waste Lookups'!$B$1:$C$295,2,FALSE)</f>
        <v>#N/A</v>
      </c>
      <c r="B825" s="74" t="s">
        <v>2397</v>
      </c>
      <c r="C825" s="74" t="s">
        <v>2398</v>
      </c>
      <c r="D825" s="74">
        <v>10.555545454545454</v>
      </c>
      <c r="E825" s="74">
        <v>0</v>
      </c>
      <c r="F825" s="74">
        <v>0</v>
      </c>
      <c r="G825" s="74">
        <v>0</v>
      </c>
      <c r="H825" s="74">
        <v>0</v>
      </c>
      <c r="I825" s="74"/>
      <c r="J825" s="74">
        <v>0.27777777777777779</v>
      </c>
      <c r="K825" s="74">
        <v>0</v>
      </c>
      <c r="L825" s="74">
        <v>0</v>
      </c>
      <c r="M825" s="74">
        <v>0</v>
      </c>
      <c r="N825" s="74">
        <v>0</v>
      </c>
    </row>
    <row r="826" spans="1:14" x14ac:dyDescent="0.25">
      <c r="A826" t="e">
        <f>VLOOKUP(VALUE(RIGHT(B826,4)),'Waste Lookups'!$B$1:$C$295,2,FALSE)</f>
        <v>#N/A</v>
      </c>
      <c r="B826" s="74" t="s">
        <v>2399</v>
      </c>
      <c r="C826" s="74" t="s">
        <v>2400</v>
      </c>
      <c r="D826" s="74">
        <v>2.2222121212121215</v>
      </c>
      <c r="E826" s="74">
        <v>0</v>
      </c>
      <c r="F826" s="74">
        <v>0</v>
      </c>
      <c r="G826" s="74">
        <v>0</v>
      </c>
      <c r="H826" s="74">
        <v>0</v>
      </c>
      <c r="I826" s="74"/>
      <c r="J826" s="74">
        <v>0</v>
      </c>
      <c r="K826" s="74">
        <v>0</v>
      </c>
      <c r="L826" s="74">
        <v>0</v>
      </c>
      <c r="M826" s="74">
        <v>0</v>
      </c>
      <c r="N826" s="74">
        <v>0</v>
      </c>
    </row>
    <row r="827" spans="1:14" x14ac:dyDescent="0.25">
      <c r="A827" t="e">
        <f>VLOOKUP(VALUE(RIGHT(B827,4)),'Waste Lookups'!$B$1:$C$295,2,FALSE)</f>
        <v>#N/A</v>
      </c>
      <c r="B827" s="74" t="s">
        <v>2401</v>
      </c>
      <c r="C827" s="74" t="s">
        <v>2402</v>
      </c>
      <c r="D827" s="74">
        <v>9.0743939393939392</v>
      </c>
      <c r="E827" s="74">
        <v>3.7331400000000001</v>
      </c>
      <c r="F827" s="74">
        <v>0</v>
      </c>
      <c r="G827" s="74">
        <v>0</v>
      </c>
      <c r="H827" s="74">
        <v>0</v>
      </c>
      <c r="I827" s="74"/>
      <c r="J827" s="74">
        <v>5.8241896573679304</v>
      </c>
      <c r="K827" s="74">
        <v>2.3960294784114975</v>
      </c>
      <c r="L827" s="74">
        <v>0</v>
      </c>
      <c r="M827" s="74">
        <v>0</v>
      </c>
      <c r="N827" s="74">
        <v>0</v>
      </c>
    </row>
    <row r="828" spans="1:14" x14ac:dyDescent="0.25">
      <c r="A828" t="e">
        <f>VLOOKUP(VALUE(RIGHT(B828,4)),'Waste Lookups'!$B$1:$C$295,2,FALSE)</f>
        <v>#N/A</v>
      </c>
      <c r="B828" s="74" t="s">
        <v>2403</v>
      </c>
      <c r="C828" s="74" t="s">
        <v>2404</v>
      </c>
      <c r="D828" s="74">
        <v>25.75084848484849</v>
      </c>
      <c r="E828" s="74">
        <v>1.4829600000000001</v>
      </c>
      <c r="F828" s="74">
        <v>0</v>
      </c>
      <c r="G828" s="74">
        <v>0</v>
      </c>
      <c r="H828" s="74">
        <v>0</v>
      </c>
      <c r="I828" s="74"/>
      <c r="J828" s="74">
        <v>0</v>
      </c>
      <c r="K828" s="74">
        <v>0</v>
      </c>
      <c r="L828" s="74">
        <v>0</v>
      </c>
      <c r="M828" s="74">
        <v>0</v>
      </c>
      <c r="N828" s="74">
        <v>0</v>
      </c>
    </row>
    <row r="829" spans="1:14" x14ac:dyDescent="0.25">
      <c r="A829" t="e">
        <f>VLOOKUP(VALUE(RIGHT(B829,4)),'Waste Lookups'!$B$1:$C$295,2,FALSE)</f>
        <v>#N/A</v>
      </c>
      <c r="B829" s="74" t="s">
        <v>2405</v>
      </c>
      <c r="C829" s="74" t="s">
        <v>2406</v>
      </c>
      <c r="D829" s="74">
        <v>3.3333333333333335</v>
      </c>
      <c r="E829" s="74">
        <v>0</v>
      </c>
      <c r="F829" s="74">
        <v>0</v>
      </c>
      <c r="G829" s="74">
        <v>0</v>
      </c>
      <c r="H829" s="74">
        <v>0</v>
      </c>
      <c r="I829" s="74"/>
      <c r="J829" s="74">
        <v>0</v>
      </c>
      <c r="K829" s="74">
        <v>0</v>
      </c>
      <c r="L829" s="74">
        <v>0</v>
      </c>
      <c r="M829" s="74">
        <v>0</v>
      </c>
      <c r="N829" s="74">
        <v>0</v>
      </c>
    </row>
    <row r="830" spans="1:14" x14ac:dyDescent="0.25">
      <c r="A830" t="e">
        <f>VLOOKUP(VALUE(RIGHT(B830,4)),'Waste Lookups'!$B$1:$C$295,2,FALSE)</f>
        <v>#N/A</v>
      </c>
      <c r="B830" s="74" t="s">
        <v>2407</v>
      </c>
      <c r="C830" s="74" t="s">
        <v>2408</v>
      </c>
      <c r="D830" s="74">
        <v>3.3333333333333335</v>
      </c>
      <c r="E830" s="74">
        <v>0</v>
      </c>
      <c r="F830" s="74">
        <v>0</v>
      </c>
      <c r="G830" s="74">
        <v>0</v>
      </c>
      <c r="H830" s="74">
        <v>0</v>
      </c>
      <c r="I830" s="74"/>
      <c r="J830" s="74">
        <v>0</v>
      </c>
      <c r="K830" s="74">
        <v>0</v>
      </c>
      <c r="L830" s="74">
        <v>0</v>
      </c>
      <c r="M830" s="74">
        <v>0</v>
      </c>
      <c r="N830" s="74">
        <v>0</v>
      </c>
    </row>
    <row r="831" spans="1:14" x14ac:dyDescent="0.25">
      <c r="A831" t="str">
        <f>VLOOKUP(VALUE(RIGHT(B831,4)),'Waste Lookups'!$B$1:$C$295,2,FALSE)</f>
        <v>Aston Pride Community Health Centre</v>
      </c>
      <c r="B831" s="74" t="s">
        <v>650</v>
      </c>
      <c r="C831" s="74" t="s">
        <v>2409</v>
      </c>
      <c r="D831" s="74">
        <v>18.82390909090909</v>
      </c>
      <c r="E831" s="74">
        <v>1.2618</v>
      </c>
      <c r="F831" s="74">
        <v>0</v>
      </c>
      <c r="G831" s="74">
        <v>0</v>
      </c>
      <c r="H831" s="74">
        <v>0</v>
      </c>
      <c r="I831" s="74"/>
      <c r="J831" s="74">
        <v>0</v>
      </c>
      <c r="K831" s="74">
        <v>0</v>
      </c>
      <c r="L831" s="74">
        <v>0</v>
      </c>
      <c r="M831" s="74">
        <v>0</v>
      </c>
      <c r="N831" s="74">
        <v>0</v>
      </c>
    </row>
    <row r="832" spans="1:14" x14ac:dyDescent="0.25">
      <c r="A832" t="e">
        <f>VLOOKUP(VALUE(RIGHT(B832,4)),'Waste Lookups'!$B$1:$C$295,2,FALSE)</f>
        <v>#N/A</v>
      </c>
      <c r="B832" s="74" t="s">
        <v>2410</v>
      </c>
      <c r="C832" s="74" t="s">
        <v>2411</v>
      </c>
      <c r="D832" s="74">
        <v>24.232060606060607</v>
      </c>
      <c r="E832" s="74">
        <v>1.7179199999999999</v>
      </c>
      <c r="F832" s="74">
        <v>0</v>
      </c>
      <c r="G832" s="74">
        <v>0</v>
      </c>
      <c r="H832" s="74">
        <v>0</v>
      </c>
      <c r="I832" s="74"/>
      <c r="J832" s="74">
        <v>0.19040472271520575</v>
      </c>
      <c r="K832" s="74">
        <v>1.3498649023892594E-2</v>
      </c>
      <c r="L832" s="74">
        <v>0</v>
      </c>
      <c r="M832" s="74">
        <v>0</v>
      </c>
      <c r="N832" s="74">
        <v>0</v>
      </c>
    </row>
    <row r="833" spans="1:14" x14ac:dyDescent="0.25">
      <c r="A833" t="str">
        <f>VLOOKUP(VALUE(RIGHT(B833,4)),'Waste Lookups'!$B$1:$C$295,2,FALSE)</f>
        <v>Bartholomew House</v>
      </c>
      <c r="B833" s="74" t="s">
        <v>651</v>
      </c>
      <c r="C833" s="74" t="s">
        <v>2412</v>
      </c>
      <c r="D833" s="74">
        <v>26.430393939393941</v>
      </c>
      <c r="E833" s="74">
        <v>8.0075999999999983</v>
      </c>
      <c r="F833" s="74">
        <v>0</v>
      </c>
      <c r="G833" s="74">
        <v>0</v>
      </c>
      <c r="H833" s="74">
        <v>0</v>
      </c>
      <c r="I833" s="74"/>
      <c r="J833" s="74">
        <v>0</v>
      </c>
      <c r="K833" s="74">
        <v>0</v>
      </c>
      <c r="L833" s="74">
        <v>0</v>
      </c>
      <c r="M833" s="74">
        <v>0</v>
      </c>
      <c r="N833" s="74">
        <v>0</v>
      </c>
    </row>
    <row r="834" spans="1:14" x14ac:dyDescent="0.25">
      <c r="A834" t="e">
        <f>VLOOKUP(VALUE(RIGHT(B834,4)),'Waste Lookups'!$B$1:$C$295,2,FALSE)</f>
        <v>#N/A</v>
      </c>
      <c r="B834" s="74" t="s">
        <v>2413</v>
      </c>
      <c r="C834" s="74" t="s">
        <v>2414</v>
      </c>
      <c r="D834" s="74">
        <v>14.417060606060605</v>
      </c>
      <c r="E834" s="74">
        <v>0.96690000000000009</v>
      </c>
      <c r="F834" s="74">
        <v>0</v>
      </c>
      <c r="G834" s="74">
        <v>0</v>
      </c>
      <c r="H834" s="74">
        <v>0</v>
      </c>
      <c r="I834" s="74"/>
      <c r="J834" s="74">
        <v>0</v>
      </c>
      <c r="K834" s="74">
        <v>0</v>
      </c>
      <c r="L834" s="74">
        <v>0</v>
      </c>
      <c r="M834" s="74">
        <v>0</v>
      </c>
      <c r="N834" s="74">
        <v>0</v>
      </c>
    </row>
    <row r="835" spans="1:14" x14ac:dyDescent="0.25">
      <c r="A835" t="e">
        <f>VLOOKUP(VALUE(RIGHT(B835,4)),'Waste Lookups'!$B$1:$C$295,2,FALSE)</f>
        <v>#N/A</v>
      </c>
      <c r="B835" s="74" t="s">
        <v>2415</v>
      </c>
      <c r="C835" s="74" t="s">
        <v>2416</v>
      </c>
      <c r="D835" s="74">
        <v>22.022151515151521</v>
      </c>
      <c r="E835" s="74">
        <v>0</v>
      </c>
      <c r="F835" s="74">
        <v>0</v>
      </c>
      <c r="G835" s="74">
        <v>0</v>
      </c>
      <c r="H835" s="74">
        <v>0</v>
      </c>
      <c r="I835" s="74"/>
      <c r="J835" s="74">
        <v>0.47611111111111115</v>
      </c>
      <c r="K835" s="74">
        <v>0</v>
      </c>
      <c r="L835" s="74">
        <v>0</v>
      </c>
      <c r="M835" s="74">
        <v>0</v>
      </c>
      <c r="N835" s="74">
        <v>0</v>
      </c>
    </row>
    <row r="836" spans="1:14" x14ac:dyDescent="0.25">
      <c r="A836" t="e">
        <f>VLOOKUP(VALUE(RIGHT(B836,4)),'Waste Lookups'!$B$1:$C$295,2,FALSE)</f>
        <v>#N/A</v>
      </c>
      <c r="B836" s="74" t="s">
        <v>2417</v>
      </c>
      <c r="C836" s="74" t="s">
        <v>2418</v>
      </c>
      <c r="D836" s="74">
        <v>8.2673030303030313</v>
      </c>
      <c r="E836" s="74">
        <v>8.4043200000000002</v>
      </c>
      <c r="F836" s="74">
        <v>0</v>
      </c>
      <c r="G836" s="74">
        <v>0</v>
      </c>
      <c r="H836" s="74">
        <v>0.36256990731611127</v>
      </c>
      <c r="I836" s="74"/>
      <c r="J836" s="74">
        <v>1.8461570887322094</v>
      </c>
      <c r="K836" s="74">
        <v>1.8767541103915679</v>
      </c>
      <c r="L836" s="74">
        <v>0</v>
      </c>
      <c r="M836" s="74">
        <v>0</v>
      </c>
      <c r="N836" s="74">
        <v>8.0964856628472234E-2</v>
      </c>
    </row>
    <row r="837" spans="1:14" x14ac:dyDescent="0.25">
      <c r="A837" t="e">
        <f>VLOOKUP(VALUE(RIGHT(B837,4)),'Waste Lookups'!$B$1:$C$295,2,FALSE)</f>
        <v>#N/A</v>
      </c>
      <c r="B837" s="74" t="s">
        <v>2419</v>
      </c>
      <c r="C837" s="74" t="s">
        <v>2420</v>
      </c>
      <c r="D837" s="74">
        <v>2.0201818181818183</v>
      </c>
      <c r="E837" s="74">
        <v>0</v>
      </c>
      <c r="F837" s="74">
        <v>0</v>
      </c>
      <c r="G837" s="74">
        <v>0</v>
      </c>
      <c r="H837" s="74">
        <v>0</v>
      </c>
      <c r="I837" s="74"/>
      <c r="J837" s="74">
        <v>0</v>
      </c>
      <c r="K837" s="74">
        <v>0</v>
      </c>
      <c r="L837" s="74">
        <v>0</v>
      </c>
      <c r="M837" s="74">
        <v>0</v>
      </c>
      <c r="N837" s="74">
        <v>0</v>
      </c>
    </row>
    <row r="838" spans="1:14" x14ac:dyDescent="0.25">
      <c r="A838" t="e">
        <f>VLOOKUP(VALUE(RIGHT(B838,4)),'Waste Lookups'!$B$1:$C$295,2,FALSE)</f>
        <v>#N/A</v>
      </c>
      <c r="B838" s="74" t="s">
        <v>2421</v>
      </c>
      <c r="C838" s="74" t="s">
        <v>2422</v>
      </c>
      <c r="D838" s="74">
        <v>2.0201818181818183</v>
      </c>
      <c r="E838" s="74">
        <v>0</v>
      </c>
      <c r="F838" s="74">
        <v>0</v>
      </c>
      <c r="G838" s="74">
        <v>0</v>
      </c>
      <c r="H838" s="74">
        <v>0</v>
      </c>
      <c r="I838" s="74"/>
      <c r="J838" s="74">
        <v>0</v>
      </c>
      <c r="K838" s="74">
        <v>0</v>
      </c>
      <c r="L838" s="74">
        <v>0</v>
      </c>
      <c r="M838" s="74">
        <v>0</v>
      </c>
      <c r="N838" s="74">
        <v>0</v>
      </c>
    </row>
    <row r="839" spans="1:14" x14ac:dyDescent="0.25">
      <c r="A839" t="e">
        <f>VLOOKUP(VALUE(RIGHT(B839,4)),'Waste Lookups'!$B$1:$C$295,2,FALSE)</f>
        <v>#N/A</v>
      </c>
      <c r="B839" s="74" t="s">
        <v>2423</v>
      </c>
      <c r="C839" s="74" t="s">
        <v>2424</v>
      </c>
      <c r="D839" s="74">
        <v>9.1059090909090905</v>
      </c>
      <c r="E839" s="74">
        <v>0.49931999999999999</v>
      </c>
      <c r="F839" s="74">
        <v>0</v>
      </c>
      <c r="G839" s="74">
        <v>0</v>
      </c>
      <c r="H839" s="74">
        <v>0</v>
      </c>
      <c r="I839" s="74"/>
      <c r="J839" s="74">
        <v>0</v>
      </c>
      <c r="K839" s="74">
        <v>0</v>
      </c>
      <c r="L839" s="74">
        <v>0</v>
      </c>
      <c r="M839" s="74">
        <v>0</v>
      </c>
      <c r="N839" s="74">
        <v>0</v>
      </c>
    </row>
    <row r="840" spans="1:14" x14ac:dyDescent="0.25">
      <c r="A840" t="e">
        <f>VLOOKUP(VALUE(RIGHT(B840,4)),'Waste Lookups'!$B$1:$C$295,2,FALSE)</f>
        <v>#N/A</v>
      </c>
      <c r="B840" s="74" t="s">
        <v>2425</v>
      </c>
      <c r="C840" s="74" t="s">
        <v>2426</v>
      </c>
      <c r="D840" s="74">
        <v>5.9430606060606062</v>
      </c>
      <c r="E840" s="74">
        <v>0.81377999999999995</v>
      </c>
      <c r="F840" s="74">
        <v>0</v>
      </c>
      <c r="G840" s="74">
        <v>0</v>
      </c>
      <c r="H840" s="74">
        <v>0</v>
      </c>
      <c r="I840" s="74"/>
      <c r="J840" s="74">
        <v>0</v>
      </c>
      <c r="K840" s="74">
        <v>0</v>
      </c>
      <c r="L840" s="74">
        <v>0</v>
      </c>
      <c r="M840" s="74">
        <v>0</v>
      </c>
      <c r="N840" s="74">
        <v>0</v>
      </c>
    </row>
    <row r="841" spans="1:14" x14ac:dyDescent="0.25">
      <c r="A841" t="e">
        <f>VLOOKUP(VALUE(RIGHT(B841,4)),'Waste Lookups'!$B$1:$C$295,2,FALSE)</f>
        <v>#N/A</v>
      </c>
      <c r="B841" s="74" t="s">
        <v>2427</v>
      </c>
      <c r="C841" s="74" t="s">
        <v>2428</v>
      </c>
      <c r="D841" s="74">
        <v>7.2444848484848485</v>
      </c>
      <c r="E841" s="74">
        <v>0</v>
      </c>
      <c r="F841" s="74">
        <v>0</v>
      </c>
      <c r="G841" s="74">
        <v>0</v>
      </c>
      <c r="H841" s="74">
        <v>0</v>
      </c>
      <c r="I841" s="74"/>
      <c r="J841" s="74">
        <v>6.9464166666666669</v>
      </c>
      <c r="K841" s="74">
        <v>0</v>
      </c>
      <c r="L841" s="74">
        <v>0</v>
      </c>
      <c r="M841" s="74">
        <v>0</v>
      </c>
      <c r="N841" s="74">
        <v>0</v>
      </c>
    </row>
    <row r="842" spans="1:14" x14ac:dyDescent="0.25">
      <c r="A842" t="e">
        <f>VLOOKUP(VALUE(RIGHT(B842,4)),'Waste Lookups'!$B$1:$C$295,2,FALSE)</f>
        <v>#N/A</v>
      </c>
      <c r="B842" s="74" t="s">
        <v>2429</v>
      </c>
      <c r="C842" s="74" t="s">
        <v>2430</v>
      </c>
      <c r="D842" s="74">
        <v>40.803545454545457</v>
      </c>
      <c r="E842" s="74">
        <v>0</v>
      </c>
      <c r="F842" s="74">
        <v>0</v>
      </c>
      <c r="G842" s="74">
        <v>0</v>
      </c>
      <c r="H842" s="74">
        <v>0</v>
      </c>
      <c r="I842" s="74"/>
      <c r="J842" s="74">
        <v>0</v>
      </c>
      <c r="K842" s="74">
        <v>0</v>
      </c>
      <c r="L842" s="74">
        <v>0</v>
      </c>
      <c r="M842" s="74">
        <v>0</v>
      </c>
      <c r="N842" s="74">
        <v>0</v>
      </c>
    </row>
    <row r="843" spans="1:14" x14ac:dyDescent="0.25">
      <c r="A843" t="e">
        <f>VLOOKUP(VALUE(RIGHT(B843,4)),'Waste Lookups'!$B$1:$C$295,2,FALSE)</f>
        <v>#N/A</v>
      </c>
      <c r="B843" s="74" t="s">
        <v>2431</v>
      </c>
      <c r="C843" s="74" t="s">
        <v>2432</v>
      </c>
      <c r="D843" s="74">
        <v>0.13418181818181818</v>
      </c>
      <c r="E843" s="74">
        <v>0</v>
      </c>
      <c r="F843" s="74">
        <v>0</v>
      </c>
      <c r="G843" s="74">
        <v>0</v>
      </c>
      <c r="H843" s="74">
        <v>0</v>
      </c>
      <c r="I843" s="74"/>
      <c r="J843" s="74">
        <v>0</v>
      </c>
      <c r="K843" s="74">
        <v>0</v>
      </c>
      <c r="L843" s="74">
        <v>0</v>
      </c>
      <c r="M843" s="74">
        <v>0</v>
      </c>
      <c r="N843" s="74">
        <v>0</v>
      </c>
    </row>
    <row r="844" spans="1:14" x14ac:dyDescent="0.25">
      <c r="A844" t="e">
        <f>VLOOKUP(VALUE(RIGHT(B844,4)),'Waste Lookups'!$B$1:$C$295,2,FALSE)</f>
        <v>#N/A</v>
      </c>
      <c r="B844" s="74" t="s">
        <v>2433</v>
      </c>
      <c r="C844" s="74" t="s">
        <v>2434</v>
      </c>
      <c r="D844" s="74">
        <v>0.40254545454545454</v>
      </c>
      <c r="E844" s="74">
        <v>0</v>
      </c>
      <c r="F844" s="74">
        <v>0</v>
      </c>
      <c r="G844" s="74">
        <v>0</v>
      </c>
      <c r="H844" s="74">
        <v>0</v>
      </c>
      <c r="I844" s="74"/>
      <c r="J844" s="74">
        <v>0</v>
      </c>
      <c r="K844" s="74">
        <v>0</v>
      </c>
      <c r="L844" s="74">
        <v>0</v>
      </c>
      <c r="M844" s="74">
        <v>0</v>
      </c>
      <c r="N844" s="74">
        <v>0</v>
      </c>
    </row>
    <row r="845" spans="1:14" x14ac:dyDescent="0.25">
      <c r="A845" t="e">
        <f>VLOOKUP(VALUE(RIGHT(B845,4)),'Waste Lookups'!$B$1:$C$295,2,FALSE)</f>
        <v>#N/A</v>
      </c>
      <c r="B845" s="74" t="s">
        <v>2435</v>
      </c>
      <c r="C845" s="74" t="s">
        <v>2436</v>
      </c>
      <c r="D845" s="74">
        <v>2.2602727272727274</v>
      </c>
      <c r="E845" s="74">
        <v>0</v>
      </c>
      <c r="F845" s="74">
        <v>0</v>
      </c>
      <c r="G845" s="74">
        <v>0</v>
      </c>
      <c r="H845" s="74">
        <v>0</v>
      </c>
      <c r="I845" s="74"/>
      <c r="J845" s="74">
        <v>0</v>
      </c>
      <c r="K845" s="74">
        <v>0</v>
      </c>
      <c r="L845" s="74">
        <v>0</v>
      </c>
      <c r="M845" s="74">
        <v>0</v>
      </c>
      <c r="N845" s="74">
        <v>0</v>
      </c>
    </row>
    <row r="846" spans="1:14" x14ac:dyDescent="0.25">
      <c r="A846" t="e">
        <f>VLOOKUP(VALUE(RIGHT(B846,4)),'Waste Lookups'!$B$1:$C$295,2,FALSE)</f>
        <v>#N/A</v>
      </c>
      <c r="B846" s="74" t="s">
        <v>2437</v>
      </c>
      <c r="C846" s="74" t="s">
        <v>2438</v>
      </c>
      <c r="D846" s="74">
        <v>3.7822424242424248</v>
      </c>
      <c r="E846" s="74">
        <v>0</v>
      </c>
      <c r="F846" s="74">
        <v>0</v>
      </c>
      <c r="G846" s="74">
        <v>0</v>
      </c>
      <c r="H846" s="74">
        <v>0</v>
      </c>
      <c r="I846" s="74"/>
      <c r="J846" s="74">
        <v>7.8433055555555562</v>
      </c>
      <c r="K846" s="74">
        <v>0</v>
      </c>
      <c r="L846" s="74">
        <v>0</v>
      </c>
      <c r="M846" s="74">
        <v>0</v>
      </c>
      <c r="N846" s="74">
        <v>0</v>
      </c>
    </row>
    <row r="847" spans="1:14" x14ac:dyDescent="0.25">
      <c r="A847" t="e">
        <f>VLOOKUP(VALUE(RIGHT(B847,4)),'Waste Lookups'!$B$1:$C$295,2,FALSE)</f>
        <v>#N/A</v>
      </c>
      <c r="B847" s="74" t="s">
        <v>2439</v>
      </c>
      <c r="C847" s="74" t="s">
        <v>2440</v>
      </c>
      <c r="D847" s="74">
        <v>19.696969696969695</v>
      </c>
      <c r="E847" s="74">
        <v>3.1164000000000001</v>
      </c>
      <c r="F847" s="74">
        <v>0</v>
      </c>
      <c r="G847" s="74">
        <v>0</v>
      </c>
      <c r="H847" s="74">
        <v>0</v>
      </c>
      <c r="I847" s="74"/>
      <c r="J847" s="74">
        <v>8.6227791707426711</v>
      </c>
      <c r="K847" s="74">
        <v>1.3642722419295097</v>
      </c>
      <c r="L847" s="74">
        <v>0</v>
      </c>
      <c r="M847" s="74">
        <v>0</v>
      </c>
      <c r="N847" s="74">
        <v>0</v>
      </c>
    </row>
    <row r="848" spans="1:14" x14ac:dyDescent="0.25">
      <c r="A848" t="e">
        <f>VLOOKUP(VALUE(RIGHT(B848,4)),'Waste Lookups'!$B$1:$C$295,2,FALSE)</f>
        <v>#N/A</v>
      </c>
      <c r="B848" s="74" t="s">
        <v>2441</v>
      </c>
      <c r="C848" s="74" t="s">
        <v>2442</v>
      </c>
      <c r="D848" s="74">
        <v>15.151515151515154</v>
      </c>
      <c r="E848" s="74">
        <v>0</v>
      </c>
      <c r="F848" s="74">
        <v>0</v>
      </c>
      <c r="G848" s="74">
        <v>0</v>
      </c>
      <c r="H848" s="74">
        <v>0</v>
      </c>
      <c r="I848" s="74"/>
      <c r="J848" s="74">
        <v>0</v>
      </c>
      <c r="K848" s="74">
        <v>0</v>
      </c>
      <c r="L848" s="74">
        <v>0</v>
      </c>
      <c r="M848" s="74">
        <v>0</v>
      </c>
      <c r="N848" s="74">
        <v>0</v>
      </c>
    </row>
    <row r="849" spans="1:14" x14ac:dyDescent="0.25">
      <c r="A849" t="e">
        <f>VLOOKUP(VALUE(RIGHT(B849,4)),'Waste Lookups'!$B$1:$C$295,2,FALSE)</f>
        <v>#N/A</v>
      </c>
      <c r="B849" s="74" t="s">
        <v>2443</v>
      </c>
      <c r="C849" s="74" t="s">
        <v>2444</v>
      </c>
      <c r="D849" s="74">
        <v>18.939393939393941</v>
      </c>
      <c r="E849" s="74">
        <v>0</v>
      </c>
      <c r="F849" s="74">
        <v>0</v>
      </c>
      <c r="G849" s="74">
        <v>0</v>
      </c>
      <c r="H849" s="74">
        <v>0</v>
      </c>
      <c r="I849" s="74"/>
      <c r="J849" s="74">
        <v>0</v>
      </c>
      <c r="K849" s="74">
        <v>0</v>
      </c>
      <c r="L849" s="74">
        <v>0</v>
      </c>
      <c r="M849" s="74">
        <v>0</v>
      </c>
      <c r="N849" s="74">
        <v>0</v>
      </c>
    </row>
    <row r="850" spans="1:14" x14ac:dyDescent="0.25">
      <c r="A850" t="e">
        <f>VLOOKUP(VALUE(RIGHT(B850,4)),'Waste Lookups'!$B$1:$C$295,2,FALSE)</f>
        <v>#N/A</v>
      </c>
      <c r="B850" s="74" t="s">
        <v>2445</v>
      </c>
      <c r="C850" s="74" t="s">
        <v>2446</v>
      </c>
      <c r="D850" s="74">
        <v>26.515151515151516</v>
      </c>
      <c r="E850" s="74">
        <v>3.6503999999999994</v>
      </c>
      <c r="F850" s="74">
        <v>0</v>
      </c>
      <c r="G850" s="74">
        <v>0</v>
      </c>
      <c r="H850" s="74">
        <v>0</v>
      </c>
      <c r="I850" s="74"/>
      <c r="J850" s="74">
        <v>11.692971020687297</v>
      </c>
      <c r="K850" s="74">
        <v>1.6097973790391518</v>
      </c>
      <c r="L850" s="74">
        <v>0</v>
      </c>
      <c r="M850" s="74">
        <v>0</v>
      </c>
      <c r="N850" s="74">
        <v>0</v>
      </c>
    </row>
    <row r="851" spans="1:14" x14ac:dyDescent="0.25">
      <c r="A851" t="e">
        <f>VLOOKUP(VALUE(RIGHT(B851,4)),'Waste Lookups'!$B$1:$C$295,2,FALSE)</f>
        <v>#N/A</v>
      </c>
      <c r="B851" s="74" t="s">
        <v>2447</v>
      </c>
      <c r="C851" s="74" t="s">
        <v>2448</v>
      </c>
      <c r="D851" s="74">
        <v>48.635121212121206</v>
      </c>
      <c r="E851" s="74">
        <v>2.6301600000000005</v>
      </c>
      <c r="F851" s="74">
        <v>0</v>
      </c>
      <c r="G851" s="74">
        <v>2.4476399999999998</v>
      </c>
      <c r="H851" s="74">
        <v>0</v>
      </c>
      <c r="I851" s="74"/>
      <c r="J851" s="74">
        <v>14.31697297794426</v>
      </c>
      <c r="K851" s="74">
        <v>0.77425384596933999</v>
      </c>
      <c r="L851" s="74">
        <v>0</v>
      </c>
      <c r="M851" s="74">
        <v>0.72052448655153889</v>
      </c>
      <c r="N851" s="74">
        <v>0</v>
      </c>
    </row>
    <row r="852" spans="1:14" x14ac:dyDescent="0.25">
      <c r="A852" t="e">
        <f>VLOOKUP(VALUE(RIGHT(B852,4)),'Waste Lookups'!$B$1:$C$295,2,FALSE)</f>
        <v>#N/A</v>
      </c>
      <c r="B852" s="74" t="s">
        <v>2449</v>
      </c>
      <c r="C852" s="74" t="s">
        <v>2450</v>
      </c>
      <c r="D852" s="74">
        <v>19.444454545454548</v>
      </c>
      <c r="E852" s="74">
        <v>1.5583800000000001</v>
      </c>
      <c r="F852" s="74">
        <v>0</v>
      </c>
      <c r="G852" s="74">
        <v>0</v>
      </c>
      <c r="H852" s="74">
        <v>0</v>
      </c>
      <c r="I852" s="74"/>
      <c r="J852" s="74">
        <v>1.5198418909641924</v>
      </c>
      <c r="K852" s="74">
        <v>0.12180805589089928</v>
      </c>
      <c r="L852" s="74">
        <v>0</v>
      </c>
      <c r="M852" s="74">
        <v>0</v>
      </c>
      <c r="N852" s="74">
        <v>0</v>
      </c>
    </row>
    <row r="853" spans="1:14" x14ac:dyDescent="0.25">
      <c r="A853" t="e">
        <f>VLOOKUP(VALUE(RIGHT(B853,4)),'Waste Lookups'!$B$1:$C$295,2,FALSE)</f>
        <v>#N/A</v>
      </c>
      <c r="B853" s="74" t="s">
        <v>2451</v>
      </c>
      <c r="C853" s="74" t="s">
        <v>2452</v>
      </c>
      <c r="D853" s="74">
        <v>8.3333333333333339</v>
      </c>
      <c r="E853" s="74">
        <v>0</v>
      </c>
      <c r="F853" s="74">
        <v>0</v>
      </c>
      <c r="G853" s="74">
        <v>0</v>
      </c>
      <c r="H853" s="74">
        <v>0</v>
      </c>
      <c r="I853" s="74"/>
      <c r="J853" s="74">
        <v>0</v>
      </c>
      <c r="K853" s="74">
        <v>0</v>
      </c>
      <c r="L853" s="74">
        <v>0</v>
      </c>
      <c r="M853" s="74">
        <v>0</v>
      </c>
      <c r="N853" s="74">
        <v>0</v>
      </c>
    </row>
    <row r="854" spans="1:14" x14ac:dyDescent="0.25">
      <c r="A854" t="e">
        <f>VLOOKUP(VALUE(RIGHT(B854,4)),'Waste Lookups'!$B$1:$C$295,2,FALSE)</f>
        <v>#N/A</v>
      </c>
      <c r="B854" s="74" t="s">
        <v>2453</v>
      </c>
      <c r="C854" s="74" t="s">
        <v>2454</v>
      </c>
      <c r="D854" s="74">
        <v>19.266666666666669</v>
      </c>
      <c r="E854" s="74">
        <v>4.6748400000000006</v>
      </c>
      <c r="F854" s="74">
        <v>0</v>
      </c>
      <c r="G854" s="74">
        <v>0</v>
      </c>
      <c r="H854" s="74">
        <v>0</v>
      </c>
      <c r="I854" s="74"/>
      <c r="J854" s="74">
        <v>4.2954236181750982</v>
      </c>
      <c r="K854" s="74">
        <v>1.0422362360133051</v>
      </c>
      <c r="L854" s="74">
        <v>0</v>
      </c>
      <c r="M854" s="74">
        <v>0</v>
      </c>
      <c r="N854" s="74">
        <v>0</v>
      </c>
    </row>
    <row r="855" spans="1:14" x14ac:dyDescent="0.25">
      <c r="A855" t="e">
        <f>VLOOKUP(VALUE(RIGHT(B855,4)),'Waste Lookups'!$B$1:$C$295,2,FALSE)</f>
        <v>#N/A</v>
      </c>
      <c r="B855" s="74" t="s">
        <v>2455</v>
      </c>
      <c r="C855" s="74" t="s">
        <v>2456</v>
      </c>
      <c r="D855" s="74">
        <v>13.05</v>
      </c>
      <c r="E855" s="74">
        <v>1.5583200000000001</v>
      </c>
      <c r="F855" s="74">
        <v>0</v>
      </c>
      <c r="G855" s="74">
        <v>0</v>
      </c>
      <c r="H855" s="74">
        <v>0</v>
      </c>
      <c r="I855" s="74"/>
      <c r="J855" s="74">
        <v>1.6156980226533109</v>
      </c>
      <c r="K855" s="74">
        <v>0.19293291514644503</v>
      </c>
      <c r="L855" s="74">
        <v>0</v>
      </c>
      <c r="M855" s="74">
        <v>0</v>
      </c>
      <c r="N855" s="74">
        <v>0</v>
      </c>
    </row>
    <row r="856" spans="1:14" x14ac:dyDescent="0.25">
      <c r="A856" t="e">
        <f>VLOOKUP(VALUE(RIGHT(B856,4)),'Waste Lookups'!$B$1:$C$295,2,FALSE)</f>
        <v>#N/A</v>
      </c>
      <c r="B856" s="74" t="s">
        <v>2457</v>
      </c>
      <c r="C856" s="74" t="s">
        <v>2458</v>
      </c>
      <c r="D856" s="74">
        <v>23.611121212121216</v>
      </c>
      <c r="E856" s="74">
        <v>3.2103599999999997</v>
      </c>
      <c r="F856" s="74">
        <v>0</v>
      </c>
      <c r="G856" s="74">
        <v>0</v>
      </c>
      <c r="H856" s="74">
        <v>0</v>
      </c>
      <c r="I856" s="74"/>
      <c r="J856" s="74">
        <v>8.0123158563178798</v>
      </c>
      <c r="K856" s="74">
        <v>1.0894196044905979</v>
      </c>
      <c r="L856" s="74">
        <v>0</v>
      </c>
      <c r="M856" s="74">
        <v>0</v>
      </c>
      <c r="N856" s="74">
        <v>0</v>
      </c>
    </row>
    <row r="857" spans="1:14" x14ac:dyDescent="0.25">
      <c r="A857" t="e">
        <f>VLOOKUP(VALUE(RIGHT(B857,4)),'Waste Lookups'!$B$1:$C$295,2,FALSE)</f>
        <v>#N/A</v>
      </c>
      <c r="B857" s="74" t="s">
        <v>2459</v>
      </c>
      <c r="C857" s="74" t="s">
        <v>2460</v>
      </c>
      <c r="D857" s="74">
        <v>37.5</v>
      </c>
      <c r="E857" s="74">
        <v>9.6057600000000001</v>
      </c>
      <c r="F857" s="74">
        <v>0</v>
      </c>
      <c r="G857" s="74">
        <v>0</v>
      </c>
      <c r="H857" s="74">
        <v>0</v>
      </c>
      <c r="I857" s="74"/>
      <c r="J857" s="74">
        <v>16.20042111597343</v>
      </c>
      <c r="K857" s="74">
        <v>4.1497961903726113</v>
      </c>
      <c r="L857" s="74">
        <v>0</v>
      </c>
      <c r="M857" s="74">
        <v>0</v>
      </c>
      <c r="N857" s="74">
        <v>0</v>
      </c>
    </row>
    <row r="858" spans="1:14" x14ac:dyDescent="0.25">
      <c r="A858" t="e">
        <f>VLOOKUP(VALUE(RIGHT(B858,4)),'Waste Lookups'!$B$1:$C$295,2,FALSE)</f>
        <v>#N/A</v>
      </c>
      <c r="B858" s="74" t="s">
        <v>2461</v>
      </c>
      <c r="C858" s="74" t="s">
        <v>2462</v>
      </c>
      <c r="D858" s="74">
        <v>27.777757575757576</v>
      </c>
      <c r="E858" s="74">
        <v>11.261699999999999</v>
      </c>
      <c r="F858" s="74">
        <v>0</v>
      </c>
      <c r="G858" s="74">
        <v>0</v>
      </c>
      <c r="H858" s="74">
        <v>0</v>
      </c>
      <c r="I858" s="74"/>
      <c r="J858" s="74">
        <v>16.983881082413774</v>
      </c>
      <c r="K858" s="74">
        <v>6.8856304568207323</v>
      </c>
      <c r="L858" s="74">
        <v>0</v>
      </c>
      <c r="M858" s="74">
        <v>0</v>
      </c>
      <c r="N858" s="74">
        <v>0</v>
      </c>
    </row>
    <row r="859" spans="1:14" x14ac:dyDescent="0.25">
      <c r="A859" t="e">
        <f>VLOOKUP(VALUE(RIGHT(B859,4)),'Waste Lookups'!$B$1:$C$295,2,FALSE)</f>
        <v>#N/A</v>
      </c>
      <c r="B859" s="74" t="s">
        <v>2463</v>
      </c>
      <c r="C859" s="74" t="s">
        <v>2464</v>
      </c>
      <c r="D859" s="74">
        <v>21.464636363636362</v>
      </c>
      <c r="E859" s="74">
        <v>0</v>
      </c>
      <c r="F859" s="74">
        <v>0</v>
      </c>
      <c r="G859" s="74">
        <v>0</v>
      </c>
      <c r="H859" s="74">
        <v>0</v>
      </c>
      <c r="I859" s="74"/>
      <c r="J859" s="74">
        <v>7.5288333333333339</v>
      </c>
      <c r="K859" s="74">
        <v>0</v>
      </c>
      <c r="L859" s="74">
        <v>0</v>
      </c>
      <c r="M859" s="74">
        <v>0</v>
      </c>
      <c r="N859" s="74">
        <v>0</v>
      </c>
    </row>
    <row r="860" spans="1:14" x14ac:dyDescent="0.25">
      <c r="A860" t="e">
        <f>VLOOKUP(VALUE(RIGHT(B860,4)),'Waste Lookups'!$B$1:$C$295,2,FALSE)</f>
        <v>#N/A</v>
      </c>
      <c r="B860" s="74" t="s">
        <v>2465</v>
      </c>
      <c r="C860" s="74" t="s">
        <v>2466</v>
      </c>
      <c r="D860" s="74">
        <v>29.04039393939394</v>
      </c>
      <c r="E860" s="74">
        <v>1.83216</v>
      </c>
      <c r="F860" s="74">
        <v>0</v>
      </c>
      <c r="G860" s="74">
        <v>0</v>
      </c>
      <c r="H860" s="74">
        <v>0</v>
      </c>
      <c r="I860" s="74"/>
      <c r="J860" s="74">
        <v>8.4513210626932835</v>
      </c>
      <c r="K860" s="74">
        <v>0.53319429586729894</v>
      </c>
      <c r="L860" s="74">
        <v>0</v>
      </c>
      <c r="M860" s="74">
        <v>0</v>
      </c>
      <c r="N860" s="74">
        <v>0</v>
      </c>
    </row>
    <row r="861" spans="1:14" x14ac:dyDescent="0.25">
      <c r="A861" t="e">
        <f>VLOOKUP(VALUE(RIGHT(B861,4)),'Waste Lookups'!$B$1:$C$295,2,FALSE)</f>
        <v>#N/A</v>
      </c>
      <c r="B861" s="74" t="s">
        <v>2467</v>
      </c>
      <c r="C861" s="74" t="s">
        <v>2468</v>
      </c>
      <c r="D861" s="74">
        <v>27.777757575757576</v>
      </c>
      <c r="E861" s="74">
        <v>6.4201199999999998</v>
      </c>
      <c r="F861" s="74">
        <v>0</v>
      </c>
      <c r="G861" s="74">
        <v>0</v>
      </c>
      <c r="H861" s="74">
        <v>0</v>
      </c>
      <c r="I861" s="74"/>
      <c r="J861" s="74">
        <v>11.562110201256655</v>
      </c>
      <c r="K861" s="74">
        <v>2.6722868015118175</v>
      </c>
      <c r="L861" s="74">
        <v>0</v>
      </c>
      <c r="M861" s="74">
        <v>0</v>
      </c>
      <c r="N861" s="74">
        <v>0</v>
      </c>
    </row>
    <row r="862" spans="1:14" x14ac:dyDescent="0.25">
      <c r="A862" t="e">
        <f>VLOOKUP(VALUE(RIGHT(B862,4)),'Waste Lookups'!$B$1:$C$295,2,FALSE)</f>
        <v>#N/A</v>
      </c>
      <c r="B862" s="74" t="s">
        <v>2469</v>
      </c>
      <c r="C862" s="74" t="s">
        <v>2470</v>
      </c>
      <c r="D862" s="74">
        <v>7.575757575757577</v>
      </c>
      <c r="E862" s="74">
        <v>0</v>
      </c>
      <c r="F862" s="74">
        <v>0</v>
      </c>
      <c r="G862" s="74">
        <v>0</v>
      </c>
      <c r="H862" s="74">
        <v>0</v>
      </c>
      <c r="I862" s="74"/>
      <c r="J862" s="74">
        <v>0</v>
      </c>
      <c r="K862" s="74">
        <v>0</v>
      </c>
      <c r="L862" s="74">
        <v>0</v>
      </c>
      <c r="M862" s="74">
        <v>0</v>
      </c>
      <c r="N862" s="74">
        <v>0</v>
      </c>
    </row>
    <row r="863" spans="1:14" x14ac:dyDescent="0.25">
      <c r="A863" t="e">
        <f>VLOOKUP(VALUE(RIGHT(B863,4)),'Waste Lookups'!$B$1:$C$295,2,FALSE)</f>
        <v>#N/A</v>
      </c>
      <c r="B863" s="74" t="s">
        <v>2471</v>
      </c>
      <c r="C863" s="74" t="s">
        <v>2472</v>
      </c>
      <c r="D863" s="74">
        <v>9.722212121212122</v>
      </c>
      <c r="E863" s="74">
        <v>1.3895999999999999</v>
      </c>
      <c r="F863" s="74">
        <v>0</v>
      </c>
      <c r="G863" s="74">
        <v>0</v>
      </c>
      <c r="H863" s="74">
        <v>0</v>
      </c>
      <c r="I863" s="74"/>
      <c r="J863" s="74">
        <v>1.4548663254452532</v>
      </c>
      <c r="K863" s="74">
        <v>0.20794467561839924</v>
      </c>
      <c r="L863" s="74">
        <v>0</v>
      </c>
      <c r="M863" s="74">
        <v>0</v>
      </c>
      <c r="N863" s="74">
        <v>0</v>
      </c>
    </row>
    <row r="864" spans="1:14" x14ac:dyDescent="0.25">
      <c r="A864" t="e">
        <f>VLOOKUP(VALUE(RIGHT(B864,4)),'Waste Lookups'!$B$1:$C$295,2,FALSE)</f>
        <v>#N/A</v>
      </c>
      <c r="B864" s="74" t="s">
        <v>2473</v>
      </c>
      <c r="C864" s="74" t="s">
        <v>2474</v>
      </c>
      <c r="D864" s="74">
        <v>0.47548484848484845</v>
      </c>
      <c r="E864" s="74">
        <v>1.6064999999999998</v>
      </c>
      <c r="F864" s="74">
        <v>0</v>
      </c>
      <c r="G864" s="74">
        <v>0</v>
      </c>
      <c r="H864" s="74">
        <v>0</v>
      </c>
      <c r="I864" s="74"/>
      <c r="J864" s="74">
        <v>1.3991771861933993</v>
      </c>
      <c r="K864" s="74">
        <v>4.7273391713370696</v>
      </c>
      <c r="L864" s="74">
        <v>0</v>
      </c>
      <c r="M864" s="74">
        <v>0</v>
      </c>
      <c r="N864" s="74">
        <v>0</v>
      </c>
    </row>
    <row r="865" spans="1:14" x14ac:dyDescent="0.25">
      <c r="A865" t="e">
        <f>VLOOKUP(VALUE(RIGHT(B865,4)),'Waste Lookups'!$B$1:$C$295,2,FALSE)</f>
        <v>#N/A</v>
      </c>
      <c r="B865" s="74" t="s">
        <v>2475</v>
      </c>
      <c r="C865" s="74" t="s">
        <v>2476</v>
      </c>
      <c r="D865" s="74">
        <v>1.7092727272727271</v>
      </c>
      <c r="E865" s="74">
        <v>5.3506199999999993</v>
      </c>
      <c r="F865" s="74">
        <v>0</v>
      </c>
      <c r="G865" s="74">
        <v>0</v>
      </c>
      <c r="H865" s="74">
        <v>0</v>
      </c>
      <c r="I865" s="74"/>
      <c r="J865" s="74">
        <v>5.860447220256944</v>
      </c>
      <c r="K865" s="74">
        <v>18.345244503891251</v>
      </c>
      <c r="L865" s="74">
        <v>0</v>
      </c>
      <c r="M865" s="74">
        <v>0</v>
      </c>
      <c r="N865" s="74">
        <v>0</v>
      </c>
    </row>
    <row r="866" spans="1:14" x14ac:dyDescent="0.25">
      <c r="A866" t="e">
        <f>VLOOKUP(VALUE(RIGHT(B866,4)),'Waste Lookups'!$B$1:$C$295,2,FALSE)</f>
        <v>#N/A</v>
      </c>
      <c r="B866" s="74" t="s">
        <v>2477</v>
      </c>
      <c r="C866" s="74" t="s">
        <v>2478</v>
      </c>
      <c r="D866" s="74">
        <v>8.3333333333333339</v>
      </c>
      <c r="E866" s="74">
        <v>0</v>
      </c>
      <c r="F866" s="74">
        <v>0</v>
      </c>
      <c r="G866" s="74">
        <v>0</v>
      </c>
      <c r="H866" s="74">
        <v>0</v>
      </c>
      <c r="I866" s="74"/>
      <c r="J866" s="74">
        <v>0.60877777777777786</v>
      </c>
      <c r="K866" s="74">
        <v>0</v>
      </c>
      <c r="L866" s="74">
        <v>0</v>
      </c>
      <c r="M866" s="74">
        <v>0</v>
      </c>
      <c r="N866" s="74">
        <v>0</v>
      </c>
    </row>
    <row r="867" spans="1:14" x14ac:dyDescent="0.25">
      <c r="A867" t="e">
        <f>VLOOKUP(VALUE(RIGHT(B867,4)),'Waste Lookups'!$B$1:$C$295,2,FALSE)</f>
        <v>#N/A</v>
      </c>
      <c r="B867" s="74" t="s">
        <v>2479</v>
      </c>
      <c r="C867" s="74" t="s">
        <v>2480</v>
      </c>
      <c r="D867" s="74">
        <v>18.614484848484846</v>
      </c>
      <c r="E867" s="74">
        <v>0</v>
      </c>
      <c r="F867" s="74">
        <v>0</v>
      </c>
      <c r="G867" s="74">
        <v>0</v>
      </c>
      <c r="H867" s="74">
        <v>0</v>
      </c>
      <c r="I867" s="74"/>
      <c r="J867" s="74">
        <v>22.697111111111113</v>
      </c>
      <c r="K867" s="74">
        <v>0</v>
      </c>
      <c r="L867" s="74">
        <v>0</v>
      </c>
      <c r="M867" s="74">
        <v>0</v>
      </c>
      <c r="N867" s="74">
        <v>0</v>
      </c>
    </row>
    <row r="868" spans="1:14" x14ac:dyDescent="0.25">
      <c r="A868" t="e">
        <f>VLOOKUP(VALUE(RIGHT(B868,4)),'Waste Lookups'!$B$1:$C$295,2,FALSE)</f>
        <v>#N/A</v>
      </c>
      <c r="B868" s="74" t="s">
        <v>2481</v>
      </c>
      <c r="C868" s="74" t="s">
        <v>2482</v>
      </c>
      <c r="D868" s="74">
        <v>8.3333333333333339</v>
      </c>
      <c r="E868" s="74">
        <v>0</v>
      </c>
      <c r="F868" s="74">
        <v>0</v>
      </c>
      <c r="G868" s="74">
        <v>0</v>
      </c>
      <c r="H868" s="74">
        <v>0</v>
      </c>
      <c r="I868" s="74"/>
      <c r="J868" s="74">
        <v>0</v>
      </c>
      <c r="K868" s="74">
        <v>0</v>
      </c>
      <c r="L868" s="74">
        <v>0</v>
      </c>
      <c r="M868" s="74">
        <v>0</v>
      </c>
      <c r="N868" s="74">
        <v>0</v>
      </c>
    </row>
    <row r="869" spans="1:14" x14ac:dyDescent="0.25">
      <c r="A869" t="e">
        <f>VLOOKUP(VALUE(RIGHT(B869,4)),'Waste Lookups'!$B$1:$C$295,2,FALSE)</f>
        <v>#N/A</v>
      </c>
      <c r="B869" s="74" t="s">
        <v>2483</v>
      </c>
      <c r="C869" s="74" t="s">
        <v>2484</v>
      </c>
      <c r="D869" s="74">
        <v>10.610515151515152</v>
      </c>
      <c r="E869" s="74">
        <v>0</v>
      </c>
      <c r="F869" s="74">
        <v>0</v>
      </c>
      <c r="G869" s="74">
        <v>0</v>
      </c>
      <c r="H869" s="74">
        <v>0</v>
      </c>
      <c r="I869" s="74"/>
      <c r="J869" s="74">
        <v>24.189388888888889</v>
      </c>
      <c r="K869" s="74">
        <v>0</v>
      </c>
      <c r="L869" s="74">
        <v>0</v>
      </c>
      <c r="M869" s="74">
        <v>0</v>
      </c>
      <c r="N869" s="74">
        <v>0</v>
      </c>
    </row>
    <row r="870" spans="1:14" x14ac:dyDescent="0.25">
      <c r="A870" t="e">
        <f>VLOOKUP(VALUE(RIGHT(B870,4)),'Waste Lookups'!$B$1:$C$295,2,FALSE)</f>
        <v>#N/A</v>
      </c>
      <c r="B870" s="74" t="s">
        <v>2485</v>
      </c>
      <c r="C870" s="74" t="s">
        <v>2486</v>
      </c>
      <c r="D870" s="74">
        <v>26.388878787878788</v>
      </c>
      <c r="E870" s="74">
        <v>4.0060799999999999</v>
      </c>
      <c r="F870" s="74">
        <v>0</v>
      </c>
      <c r="G870" s="74">
        <v>0</v>
      </c>
      <c r="H870" s="74">
        <v>0</v>
      </c>
      <c r="I870" s="74"/>
      <c r="J870" s="74">
        <v>4.01112781378575</v>
      </c>
      <c r="K870" s="74">
        <v>0.60892692870421439</v>
      </c>
      <c r="L870" s="74">
        <v>0</v>
      </c>
      <c r="M870" s="74">
        <v>0</v>
      </c>
      <c r="N870" s="74">
        <v>0</v>
      </c>
    </row>
    <row r="871" spans="1:14" x14ac:dyDescent="0.25">
      <c r="A871" t="e">
        <f>VLOOKUP(VALUE(RIGHT(B871,4)),'Waste Lookups'!$B$1:$C$295,2,FALSE)</f>
        <v>#N/A</v>
      </c>
      <c r="B871" s="74" t="s">
        <v>2487</v>
      </c>
      <c r="C871" s="74" t="s">
        <v>2488</v>
      </c>
      <c r="D871" s="74">
        <v>0.18778787878787881</v>
      </c>
      <c r="E871" s="74">
        <v>0</v>
      </c>
      <c r="F871" s="74">
        <v>0</v>
      </c>
      <c r="G871" s="74">
        <v>0</v>
      </c>
      <c r="H871" s="74">
        <v>0</v>
      </c>
      <c r="I871" s="74"/>
      <c r="J871" s="74">
        <v>0</v>
      </c>
      <c r="K871" s="74">
        <v>0</v>
      </c>
      <c r="L871" s="74">
        <v>0</v>
      </c>
      <c r="M871" s="74">
        <v>0</v>
      </c>
      <c r="N871" s="74">
        <v>0</v>
      </c>
    </row>
    <row r="872" spans="1:14" x14ac:dyDescent="0.25">
      <c r="A872" t="e">
        <f>VLOOKUP(VALUE(RIGHT(B872,4)),'Waste Lookups'!$B$1:$C$295,2,FALSE)</f>
        <v>#N/A</v>
      </c>
      <c r="B872" s="74" t="s">
        <v>2489</v>
      </c>
      <c r="C872" s="74" t="s">
        <v>2490</v>
      </c>
      <c r="D872" s="74">
        <v>21.111121212121216</v>
      </c>
      <c r="E872" s="74">
        <v>0.37440000000000001</v>
      </c>
      <c r="F872" s="74">
        <v>0</v>
      </c>
      <c r="G872" s="74">
        <v>0</v>
      </c>
      <c r="H872" s="74">
        <v>0</v>
      </c>
      <c r="I872" s="74"/>
      <c r="J872" s="74">
        <v>1.5411956133599465</v>
      </c>
      <c r="K872" s="74">
        <v>2.7332685547305686E-2</v>
      </c>
      <c r="L872" s="74">
        <v>0</v>
      </c>
      <c r="M872" s="74">
        <v>0</v>
      </c>
      <c r="N872" s="74">
        <v>0</v>
      </c>
    </row>
    <row r="873" spans="1:14" x14ac:dyDescent="0.25">
      <c r="A873" t="e">
        <f>VLOOKUP(VALUE(RIGHT(B873,4)),'Waste Lookups'!$B$1:$C$295,2,FALSE)</f>
        <v>#N/A</v>
      </c>
      <c r="B873" s="74" t="s">
        <v>2491</v>
      </c>
      <c r="C873" s="74" t="s">
        <v>2492</v>
      </c>
      <c r="D873" s="74">
        <v>17.676757575757577</v>
      </c>
      <c r="E873" s="74">
        <v>0</v>
      </c>
      <c r="F873" s="74">
        <v>0</v>
      </c>
      <c r="G873" s="74">
        <v>0</v>
      </c>
      <c r="H873" s="74">
        <v>0</v>
      </c>
      <c r="I873" s="74"/>
      <c r="J873" s="74">
        <v>0</v>
      </c>
      <c r="K873" s="74">
        <v>0</v>
      </c>
      <c r="L873" s="74">
        <v>0</v>
      </c>
      <c r="M873" s="74">
        <v>0</v>
      </c>
      <c r="N873" s="74">
        <v>0</v>
      </c>
    </row>
    <row r="874" spans="1:14" x14ac:dyDescent="0.25">
      <c r="A874" t="e">
        <f>VLOOKUP(VALUE(RIGHT(B874,4)),'Waste Lookups'!$B$1:$C$295,2,FALSE)</f>
        <v>#N/A</v>
      </c>
      <c r="B874" s="74" t="s">
        <v>2493</v>
      </c>
      <c r="C874" s="74" t="s">
        <v>2494</v>
      </c>
      <c r="D874" s="74">
        <v>15.151515151515154</v>
      </c>
      <c r="E874" s="74">
        <v>0</v>
      </c>
      <c r="F874" s="74">
        <v>0</v>
      </c>
      <c r="G874" s="74">
        <v>0</v>
      </c>
      <c r="H874" s="74">
        <v>0</v>
      </c>
      <c r="I874" s="74"/>
      <c r="J874" s="74">
        <v>0</v>
      </c>
      <c r="K874" s="74">
        <v>0</v>
      </c>
      <c r="L874" s="74">
        <v>0</v>
      </c>
      <c r="M874" s="74">
        <v>0</v>
      </c>
      <c r="N874" s="74">
        <v>0</v>
      </c>
    </row>
    <row r="875" spans="1:14" x14ac:dyDescent="0.25">
      <c r="A875" t="e">
        <f>VLOOKUP(VALUE(RIGHT(B875,4)),'Waste Lookups'!$B$1:$C$295,2,FALSE)</f>
        <v>#N/A</v>
      </c>
      <c r="B875" s="74" t="s">
        <v>2495</v>
      </c>
      <c r="C875" s="74" t="s">
        <v>2496</v>
      </c>
      <c r="D875" s="74">
        <v>0.14527272727272728</v>
      </c>
      <c r="E875" s="74">
        <v>0</v>
      </c>
      <c r="F875" s="74">
        <v>0</v>
      </c>
      <c r="G875" s="74">
        <v>0</v>
      </c>
      <c r="H875" s="74">
        <v>0</v>
      </c>
      <c r="I875" s="74"/>
      <c r="J875" s="74">
        <v>0.13333333333333333</v>
      </c>
      <c r="K875" s="74">
        <v>0</v>
      </c>
      <c r="L875" s="74">
        <v>0</v>
      </c>
      <c r="M875" s="74">
        <v>0</v>
      </c>
      <c r="N875" s="74">
        <v>0</v>
      </c>
    </row>
    <row r="876" spans="1:14" x14ac:dyDescent="0.25">
      <c r="A876" t="e">
        <f>VLOOKUP(VALUE(RIGHT(B876,4)),'Waste Lookups'!$B$1:$C$295,2,FALSE)</f>
        <v>#N/A</v>
      </c>
      <c r="B876" s="74" t="s">
        <v>2497</v>
      </c>
      <c r="C876" s="74" t="s">
        <v>2498</v>
      </c>
      <c r="D876" s="74">
        <v>21.969696969696972</v>
      </c>
      <c r="E876" s="74">
        <v>0</v>
      </c>
      <c r="F876" s="74">
        <v>0</v>
      </c>
      <c r="G876" s="74">
        <v>0</v>
      </c>
      <c r="H876" s="74">
        <v>0</v>
      </c>
      <c r="I876" s="74"/>
      <c r="J876" s="74">
        <v>0.67208333333333337</v>
      </c>
      <c r="K876" s="74">
        <v>0</v>
      </c>
      <c r="L876" s="74">
        <v>0</v>
      </c>
      <c r="M876" s="74">
        <v>0</v>
      </c>
      <c r="N876" s="74">
        <v>0</v>
      </c>
    </row>
    <row r="877" spans="1:14" x14ac:dyDescent="0.25">
      <c r="A877" t="e">
        <f>VLOOKUP(VALUE(RIGHT(B877,4)),'Waste Lookups'!$B$1:$C$295,2,FALSE)</f>
        <v>#N/A</v>
      </c>
      <c r="B877" s="74" t="s">
        <v>2499</v>
      </c>
      <c r="C877" s="74" t="s">
        <v>2500</v>
      </c>
      <c r="D877" s="74">
        <v>26.494939393939397</v>
      </c>
      <c r="E877" s="74">
        <v>4.6748400000000006</v>
      </c>
      <c r="F877" s="74">
        <v>0</v>
      </c>
      <c r="G877" s="74">
        <v>0</v>
      </c>
      <c r="H877" s="74">
        <v>0</v>
      </c>
      <c r="I877" s="74"/>
      <c r="J877" s="74">
        <v>14.573843883525553</v>
      </c>
      <c r="K877" s="74">
        <v>2.5714491106194086</v>
      </c>
      <c r="L877" s="74">
        <v>0</v>
      </c>
      <c r="M877" s="74">
        <v>0</v>
      </c>
      <c r="N877" s="74">
        <v>0</v>
      </c>
    </row>
    <row r="878" spans="1:14" x14ac:dyDescent="0.25">
      <c r="A878" t="e">
        <f>VLOOKUP(VALUE(RIGHT(B878,4)),'Waste Lookups'!$B$1:$C$295,2,FALSE)</f>
        <v>#N/A</v>
      </c>
      <c r="B878" s="74" t="s">
        <v>2501</v>
      </c>
      <c r="C878" s="74" t="s">
        <v>2502</v>
      </c>
      <c r="D878" s="74">
        <v>34.828242424242418</v>
      </c>
      <c r="E878" s="74">
        <v>3.1164000000000001</v>
      </c>
      <c r="F878" s="74">
        <v>0</v>
      </c>
      <c r="G878" s="74">
        <v>0</v>
      </c>
      <c r="H878" s="74">
        <v>0</v>
      </c>
      <c r="I878" s="74"/>
      <c r="J878" s="74">
        <v>11.992725573577193</v>
      </c>
      <c r="K878" s="74">
        <v>1.0730983643171572</v>
      </c>
      <c r="L878" s="74">
        <v>0</v>
      </c>
      <c r="M878" s="74">
        <v>0</v>
      </c>
      <c r="N878" s="74">
        <v>0</v>
      </c>
    </row>
    <row r="879" spans="1:14" x14ac:dyDescent="0.25">
      <c r="A879" t="e">
        <f>VLOOKUP(VALUE(RIGHT(B879,4)),'Waste Lookups'!$B$1:$C$295,2,FALSE)</f>
        <v>#N/A</v>
      </c>
      <c r="B879" s="74" t="s">
        <v>2503</v>
      </c>
      <c r="C879" s="74" t="s">
        <v>2504</v>
      </c>
      <c r="D879" s="74">
        <v>8.3333333333333339</v>
      </c>
      <c r="E879" s="74">
        <v>0</v>
      </c>
      <c r="F879" s="74">
        <v>0</v>
      </c>
      <c r="G879" s="74">
        <v>0</v>
      </c>
      <c r="H879" s="74">
        <v>0</v>
      </c>
      <c r="I879" s="74"/>
      <c r="J879" s="74">
        <v>0</v>
      </c>
      <c r="K879" s="74">
        <v>0</v>
      </c>
      <c r="L879" s="74">
        <v>0</v>
      </c>
      <c r="M879" s="74">
        <v>0</v>
      </c>
      <c r="N879" s="74">
        <v>0</v>
      </c>
    </row>
    <row r="880" spans="1:14" x14ac:dyDescent="0.25">
      <c r="A880" t="e">
        <f>VLOOKUP(VALUE(RIGHT(B880,4)),'Waste Lookups'!$B$1:$C$295,2,FALSE)</f>
        <v>#N/A</v>
      </c>
      <c r="B880" s="74" t="s">
        <v>2505</v>
      </c>
      <c r="C880" s="74" t="s">
        <v>2506</v>
      </c>
      <c r="D880" s="74">
        <v>1.375757575757576E-2</v>
      </c>
      <c r="E880" s="74">
        <v>0</v>
      </c>
      <c r="F880" s="74">
        <v>0</v>
      </c>
      <c r="G880" s="74">
        <v>0</v>
      </c>
      <c r="H880" s="74">
        <v>0</v>
      </c>
      <c r="I880" s="74"/>
      <c r="J880" s="74">
        <v>0</v>
      </c>
      <c r="K880" s="74">
        <v>0</v>
      </c>
      <c r="L880" s="74">
        <v>0</v>
      </c>
      <c r="M880" s="74">
        <v>0</v>
      </c>
      <c r="N880" s="74">
        <v>0</v>
      </c>
    </row>
    <row r="881" spans="1:14" x14ac:dyDescent="0.25">
      <c r="A881" t="e">
        <f>VLOOKUP(VALUE(RIGHT(B881,4)),'Waste Lookups'!$B$1:$C$295,2,FALSE)</f>
        <v>#N/A</v>
      </c>
      <c r="B881" s="74" t="s">
        <v>2507</v>
      </c>
      <c r="C881" s="74" t="s">
        <v>2508</v>
      </c>
      <c r="D881" s="74">
        <v>0</v>
      </c>
      <c r="E881" s="74">
        <v>0</v>
      </c>
      <c r="F881" s="74">
        <v>0</v>
      </c>
      <c r="G881" s="74">
        <v>0</v>
      </c>
      <c r="H881" s="74">
        <v>6.8909485308617638E-2</v>
      </c>
      <c r="I881" s="74"/>
      <c r="J881" s="74">
        <v>0</v>
      </c>
      <c r="K881" s="74">
        <v>0</v>
      </c>
      <c r="L881" s="74">
        <v>0</v>
      </c>
      <c r="M881" s="74">
        <v>0</v>
      </c>
      <c r="N881" s="74">
        <v>0</v>
      </c>
    </row>
    <row r="882" spans="1:14" x14ac:dyDescent="0.25">
      <c r="A882" t="e">
        <f>VLOOKUP(VALUE(RIGHT(B882,4)),'Waste Lookups'!$B$1:$C$295,2,FALSE)</f>
        <v>#N/A</v>
      </c>
      <c r="B882" s="74" t="s">
        <v>2509</v>
      </c>
      <c r="C882" s="74" t="s">
        <v>2510</v>
      </c>
      <c r="D882" s="74">
        <v>0</v>
      </c>
      <c r="E882" s="74">
        <v>0</v>
      </c>
      <c r="F882" s="74">
        <v>0</v>
      </c>
      <c r="G882" s="74">
        <v>0</v>
      </c>
      <c r="H882" s="74">
        <v>0.33394596726483927</v>
      </c>
      <c r="I882" s="74"/>
      <c r="J882" s="74">
        <v>0</v>
      </c>
      <c r="K882" s="74">
        <v>0</v>
      </c>
      <c r="L882" s="74">
        <v>0</v>
      </c>
      <c r="M882" s="74">
        <v>0</v>
      </c>
      <c r="N882" s="74">
        <v>0</v>
      </c>
    </row>
    <row r="883" spans="1:14" x14ac:dyDescent="0.25">
      <c r="A883" t="e">
        <f>VLOOKUP(VALUE(RIGHT(B883,4)),'Waste Lookups'!$B$1:$C$295,2,FALSE)</f>
        <v>#N/A</v>
      </c>
      <c r="B883" s="74" t="s">
        <v>2511</v>
      </c>
      <c r="C883" s="74" t="s">
        <v>2512</v>
      </c>
      <c r="D883" s="74">
        <v>0.38348484848484848</v>
      </c>
      <c r="E883" s="74">
        <v>0</v>
      </c>
      <c r="F883" s="74">
        <v>0</v>
      </c>
      <c r="G883" s="74">
        <v>0</v>
      </c>
      <c r="H883" s="74">
        <v>0.79510944586866505</v>
      </c>
      <c r="I883" s="74"/>
      <c r="J883" s="74">
        <v>0</v>
      </c>
      <c r="K883" s="74">
        <v>0</v>
      </c>
      <c r="L883" s="74">
        <v>0</v>
      </c>
      <c r="M883" s="74">
        <v>0</v>
      </c>
      <c r="N883" s="74">
        <v>0</v>
      </c>
    </row>
    <row r="884" spans="1:14" x14ac:dyDescent="0.25">
      <c r="A884" t="str">
        <f>VLOOKUP(VALUE(RIGHT(B884,4)),'Waste Lookups'!$B$1:$C$295,2,FALSE)</f>
        <v>Century House</v>
      </c>
      <c r="B884" s="74" t="s">
        <v>735</v>
      </c>
      <c r="C884" s="74" t="s">
        <v>2513</v>
      </c>
      <c r="D884" s="74">
        <v>3.7361212121212124</v>
      </c>
      <c r="E884" s="74">
        <v>0</v>
      </c>
      <c r="F884" s="74">
        <v>0.21503636363636366</v>
      </c>
      <c r="G884" s="74">
        <v>0</v>
      </c>
      <c r="H884" s="74">
        <v>0.33394596726483927</v>
      </c>
      <c r="I884" s="74"/>
      <c r="J884" s="74">
        <v>0.25669210994999658</v>
      </c>
      <c r="K884" s="74">
        <v>0</v>
      </c>
      <c r="L884" s="74">
        <v>1.4774182839333981E-2</v>
      </c>
      <c r="M884" s="74">
        <v>0</v>
      </c>
      <c r="N884" s="74">
        <v>2.2943927693886333E-2</v>
      </c>
    </row>
    <row r="885" spans="1:14" x14ac:dyDescent="0.25">
      <c r="A885" t="e">
        <f>VLOOKUP(VALUE(RIGHT(B885,4)),'Waste Lookups'!$B$1:$C$295,2,FALSE)</f>
        <v>#N/A</v>
      </c>
      <c r="B885" s="74" t="s">
        <v>2514</v>
      </c>
      <c r="C885" s="74" t="s">
        <v>2515</v>
      </c>
      <c r="D885" s="74">
        <v>0.17727272727272728</v>
      </c>
      <c r="E885" s="74">
        <v>0</v>
      </c>
      <c r="F885" s="74">
        <v>1.3745454545454545E-2</v>
      </c>
      <c r="G885" s="74">
        <v>0</v>
      </c>
      <c r="H885" s="74">
        <v>0.20142772628672848</v>
      </c>
      <c r="I885" s="74"/>
      <c r="J885" s="74">
        <v>0.11368887694787749</v>
      </c>
      <c r="K885" s="74">
        <v>0</v>
      </c>
      <c r="L885" s="74">
        <v>8.8152606125738858E-3</v>
      </c>
      <c r="M885" s="74">
        <v>0</v>
      </c>
      <c r="N885" s="74">
        <v>0.12918000608447633</v>
      </c>
    </row>
    <row r="886" spans="1:14" x14ac:dyDescent="0.25">
      <c r="A886" t="e">
        <f>VLOOKUP(VALUE(RIGHT(B886,4)),'Waste Lookups'!$B$1:$C$295,2,FALSE)</f>
        <v>#N/A</v>
      </c>
      <c r="B886" s="74" t="s">
        <v>2516</v>
      </c>
      <c r="C886" s="74" t="s">
        <v>2517</v>
      </c>
      <c r="D886" s="74">
        <v>9.6160000000000014</v>
      </c>
      <c r="E886" s="74">
        <v>0</v>
      </c>
      <c r="F886" s="74">
        <v>0</v>
      </c>
      <c r="G886" s="74">
        <v>0</v>
      </c>
      <c r="H886" s="74">
        <v>0.13781897061723528</v>
      </c>
      <c r="I886" s="74"/>
      <c r="J886" s="74">
        <v>0.62075775996937621</v>
      </c>
      <c r="K886" s="74">
        <v>0</v>
      </c>
      <c r="L886" s="74">
        <v>0</v>
      </c>
      <c r="M886" s="74">
        <v>0</v>
      </c>
      <c r="N886" s="74">
        <v>8.8968589311189915E-3</v>
      </c>
    </row>
    <row r="887" spans="1:14" x14ac:dyDescent="0.25">
      <c r="A887" t="str">
        <f>VLOOKUP(VALUE(RIGHT(B887,4)),'Waste Lookups'!$B$1:$C$295,2,FALSE)</f>
        <v>Friars Gate</v>
      </c>
      <c r="B887" s="74" t="s">
        <v>799</v>
      </c>
      <c r="C887" s="74" t="s">
        <v>2518</v>
      </c>
      <c r="D887" s="74">
        <v>1.7928181818181819</v>
      </c>
      <c r="E887" s="74">
        <v>0</v>
      </c>
      <c r="F887" s="74">
        <v>0</v>
      </c>
      <c r="G887" s="74">
        <v>0</v>
      </c>
      <c r="H887" s="74">
        <v>1.9400670479195423</v>
      </c>
      <c r="I887" s="74"/>
      <c r="J887" s="74">
        <v>0.48784523151247056</v>
      </c>
      <c r="K887" s="74">
        <v>0</v>
      </c>
      <c r="L887" s="74">
        <v>0</v>
      </c>
      <c r="M887" s="74">
        <v>0</v>
      </c>
      <c r="N887" s="74">
        <v>0.52791324169982601</v>
      </c>
    </row>
    <row r="888" spans="1:14" x14ac:dyDescent="0.25">
      <c r="A888" t="e">
        <f>VLOOKUP(VALUE(RIGHT(B888,4)),'Waste Lookups'!$B$1:$C$295,2,FALSE)</f>
        <v>#N/A</v>
      </c>
      <c r="B888" s="74" t="s">
        <v>2519</v>
      </c>
      <c r="C888" s="74" t="s">
        <v>2520</v>
      </c>
      <c r="D888" s="74">
        <v>11.187909090909091</v>
      </c>
      <c r="E888" s="74">
        <v>0</v>
      </c>
      <c r="F888" s="74">
        <v>1.7301818181818185</v>
      </c>
      <c r="G888" s="74">
        <v>2.5077599999999998</v>
      </c>
      <c r="H888" s="74">
        <v>0.58838098994281196</v>
      </c>
      <c r="I888" s="74"/>
      <c r="J888" s="74">
        <v>0.43233934071150937</v>
      </c>
      <c r="K888" s="74">
        <v>0</v>
      </c>
      <c r="L888" s="74">
        <v>6.6860184553303878E-2</v>
      </c>
      <c r="M888" s="74">
        <v>9.6908483636471518E-2</v>
      </c>
      <c r="N888" s="74">
        <v>2.2737067955419941E-2</v>
      </c>
    </row>
    <row r="889" spans="1:14" x14ac:dyDescent="0.25">
      <c r="A889" t="e">
        <f>VLOOKUP(VALUE(RIGHT(B889,4)),'Waste Lookups'!$B$1:$C$295,2,FALSE)</f>
        <v>#N/A</v>
      </c>
      <c r="B889" s="74" t="s">
        <v>2521</v>
      </c>
      <c r="C889" s="74" t="s">
        <v>2522</v>
      </c>
      <c r="D889" s="74">
        <v>4.3861212121212123</v>
      </c>
      <c r="E889" s="74">
        <v>0</v>
      </c>
      <c r="F889" s="74">
        <v>0</v>
      </c>
      <c r="G889" s="74">
        <v>0</v>
      </c>
      <c r="H889" s="74">
        <v>0.27033721159534613</v>
      </c>
      <c r="I889" s="74"/>
      <c r="J889" s="74">
        <v>0.34078531557169989</v>
      </c>
      <c r="K889" s="74">
        <v>0</v>
      </c>
      <c r="L889" s="74">
        <v>0</v>
      </c>
      <c r="M889" s="74">
        <v>0</v>
      </c>
      <c r="N889" s="74">
        <v>2.1004196534673298E-2</v>
      </c>
    </row>
    <row r="890" spans="1:14" x14ac:dyDescent="0.25">
      <c r="A890" t="e">
        <f>VLOOKUP(VALUE(RIGHT(B890,4)),'Waste Lookups'!$B$1:$C$295,2,FALSE)</f>
        <v>#N/A</v>
      </c>
      <c r="B890" s="74" t="s">
        <v>2523</v>
      </c>
      <c r="C890" s="74" t="s">
        <v>2524</v>
      </c>
      <c r="D890" s="74">
        <v>0.77339393939393952</v>
      </c>
      <c r="E890" s="74">
        <v>1.0472999999999999</v>
      </c>
      <c r="F890" s="74">
        <v>0.15972727272727272</v>
      </c>
      <c r="G890" s="74">
        <v>0</v>
      </c>
      <c r="H890" s="74">
        <v>0.13251824097811082</v>
      </c>
      <c r="I890" s="74"/>
      <c r="J890" s="74">
        <v>0</v>
      </c>
      <c r="K890" s="74">
        <v>0</v>
      </c>
      <c r="L890" s="74">
        <v>0</v>
      </c>
      <c r="M890" s="74">
        <v>0</v>
      </c>
      <c r="N890" s="74">
        <v>0</v>
      </c>
    </row>
    <row r="891" spans="1:14" x14ac:dyDescent="0.25">
      <c r="A891" t="e">
        <f>VLOOKUP(VALUE(RIGHT(B891,4)),'Waste Lookups'!$B$1:$C$295,2,FALSE)</f>
        <v>#N/A</v>
      </c>
      <c r="B891" s="74" t="s">
        <v>2525</v>
      </c>
      <c r="C891" s="74" t="s">
        <v>2526</v>
      </c>
      <c r="D891" s="74">
        <v>0</v>
      </c>
      <c r="E891" s="74">
        <v>0</v>
      </c>
      <c r="F891" s="74">
        <v>3.7545454545454549E-2</v>
      </c>
      <c r="G891" s="74">
        <v>0</v>
      </c>
      <c r="H891" s="74">
        <v>0</v>
      </c>
      <c r="I891" s="74"/>
      <c r="J891" s="74">
        <v>0</v>
      </c>
      <c r="K891" s="74">
        <v>0</v>
      </c>
      <c r="L891" s="74">
        <v>0</v>
      </c>
      <c r="M891" s="74">
        <v>0</v>
      </c>
      <c r="N891" s="74">
        <v>0</v>
      </c>
    </row>
    <row r="892" spans="1:14" x14ac:dyDescent="0.25">
      <c r="A892" t="e">
        <f>VLOOKUP(VALUE(RIGHT(B892,4)),'Waste Lookups'!$B$1:$C$295,2,FALSE)</f>
        <v>#N/A</v>
      </c>
      <c r="B892" s="74" t="s">
        <v>2527</v>
      </c>
      <c r="C892" s="74" t="s">
        <v>2528</v>
      </c>
      <c r="D892" s="74">
        <v>3.1133333333333337</v>
      </c>
      <c r="E892" s="74">
        <v>0</v>
      </c>
      <c r="F892" s="74">
        <v>0</v>
      </c>
      <c r="G892" s="74">
        <v>0</v>
      </c>
      <c r="H892" s="74">
        <v>0</v>
      </c>
      <c r="I892" s="74"/>
      <c r="J892" s="74">
        <v>135.96097222222221</v>
      </c>
      <c r="K892" s="74">
        <v>0</v>
      </c>
      <c r="L892" s="74">
        <v>0</v>
      </c>
      <c r="M892" s="74">
        <v>0</v>
      </c>
      <c r="N892" s="74">
        <v>0</v>
      </c>
    </row>
    <row r="893" spans="1:14" x14ac:dyDescent="0.25">
      <c r="A893" t="e">
        <f>VLOOKUP(VALUE(RIGHT(B893,4)),'Waste Lookups'!$B$1:$C$295,2,FALSE)</f>
        <v>#N/A</v>
      </c>
      <c r="B893" s="74" t="s">
        <v>2529</v>
      </c>
      <c r="C893" s="74" t="s">
        <v>2530</v>
      </c>
      <c r="D893" s="74">
        <v>0</v>
      </c>
      <c r="E893" s="74">
        <v>0</v>
      </c>
      <c r="F893" s="74">
        <v>0</v>
      </c>
      <c r="G893" s="74">
        <v>0</v>
      </c>
      <c r="H893" s="74">
        <v>0.44526128968645234</v>
      </c>
      <c r="I893" s="74"/>
      <c r="J893" s="74">
        <v>0</v>
      </c>
      <c r="K893" s="74">
        <v>0</v>
      </c>
      <c r="L893" s="74">
        <v>0</v>
      </c>
      <c r="M893" s="74">
        <v>0</v>
      </c>
      <c r="N893" s="74">
        <v>0</v>
      </c>
    </row>
    <row r="894" spans="1:14" x14ac:dyDescent="0.25">
      <c r="A894" t="e">
        <f>VLOOKUP(VALUE(RIGHT(B894,4)),'Waste Lookups'!$B$1:$C$295,2,FALSE)</f>
        <v>#N/A</v>
      </c>
      <c r="B894" s="74" t="s">
        <v>2531</v>
      </c>
      <c r="C894" s="74" t="s">
        <v>2532</v>
      </c>
      <c r="D894" s="74">
        <v>0</v>
      </c>
      <c r="E894" s="74">
        <v>0</v>
      </c>
      <c r="F894" s="74">
        <v>0</v>
      </c>
      <c r="G894" s="74">
        <v>0</v>
      </c>
      <c r="H894" s="74">
        <v>1.7492407809110628</v>
      </c>
      <c r="I894" s="74"/>
      <c r="J894" s="74">
        <v>0</v>
      </c>
      <c r="K894" s="74">
        <v>0</v>
      </c>
      <c r="L894" s="74">
        <v>0</v>
      </c>
      <c r="M894" s="74">
        <v>0</v>
      </c>
      <c r="N894" s="74">
        <v>0</v>
      </c>
    </row>
    <row r="895" spans="1:14" x14ac:dyDescent="0.25">
      <c r="A895" t="e">
        <f>VLOOKUP(VALUE(RIGHT(B895,4)),'Waste Lookups'!$B$1:$C$295,2,FALSE)</f>
        <v>#N/A</v>
      </c>
      <c r="B895" s="74" t="s">
        <v>2533</v>
      </c>
      <c r="C895" s="74" t="s">
        <v>2534</v>
      </c>
      <c r="D895" s="74">
        <v>12.914</v>
      </c>
      <c r="E895" s="74">
        <v>0</v>
      </c>
      <c r="F895" s="74">
        <v>1.0448545454545453</v>
      </c>
      <c r="G895" s="74">
        <v>0</v>
      </c>
      <c r="H895" s="74">
        <v>0</v>
      </c>
      <c r="I895" s="74"/>
      <c r="J895" s="74">
        <v>3.1919111922568746</v>
      </c>
      <c r="K895" s="74">
        <v>0</v>
      </c>
      <c r="L895" s="74">
        <v>0.25825328464587521</v>
      </c>
      <c r="M895" s="74">
        <v>0</v>
      </c>
      <c r="N895" s="74">
        <v>0</v>
      </c>
    </row>
    <row r="896" spans="1:14" x14ac:dyDescent="0.25">
      <c r="A896" t="e">
        <f>VLOOKUP(VALUE(RIGHT(B896,4)),'Waste Lookups'!$B$1:$C$295,2,FALSE)</f>
        <v>#N/A</v>
      </c>
      <c r="B896" s="74" t="s">
        <v>2535</v>
      </c>
      <c r="C896" s="74" t="s">
        <v>2536</v>
      </c>
      <c r="D896" s="74">
        <v>9.2565454545454546</v>
      </c>
      <c r="E896" s="74">
        <v>0</v>
      </c>
      <c r="F896" s="74">
        <v>0</v>
      </c>
      <c r="G896" s="74">
        <v>0</v>
      </c>
      <c r="H896" s="74">
        <v>0.75800433839479386</v>
      </c>
      <c r="I896" s="74"/>
      <c r="J896" s="74">
        <v>0.56051239515724094</v>
      </c>
      <c r="K896" s="74">
        <v>0</v>
      </c>
      <c r="L896" s="74">
        <v>0</v>
      </c>
      <c r="M896" s="74">
        <v>0</v>
      </c>
      <c r="N896" s="74">
        <v>4.5899502070139091E-2</v>
      </c>
    </row>
    <row r="897" spans="1:14" x14ac:dyDescent="0.25">
      <c r="A897" t="e">
        <f>VLOOKUP(VALUE(RIGHT(B897,4)),'Waste Lookups'!$B$1:$C$295,2,FALSE)</f>
        <v>#N/A</v>
      </c>
      <c r="B897" s="74" t="s">
        <v>2537</v>
      </c>
      <c r="C897" s="74" t="s">
        <v>2538</v>
      </c>
      <c r="D897" s="74">
        <v>0.43090909090909091</v>
      </c>
      <c r="E897" s="74">
        <v>0</v>
      </c>
      <c r="F897" s="74">
        <v>0</v>
      </c>
      <c r="G897" s="74">
        <v>0</v>
      </c>
      <c r="H897" s="74">
        <v>0</v>
      </c>
      <c r="I897" s="74"/>
      <c r="J897" s="74">
        <v>0</v>
      </c>
      <c r="K897" s="74">
        <v>0</v>
      </c>
      <c r="L897" s="74">
        <v>0</v>
      </c>
      <c r="M897" s="74">
        <v>0</v>
      </c>
      <c r="N897" s="74">
        <v>0</v>
      </c>
    </row>
    <row r="898" spans="1:14" x14ac:dyDescent="0.25">
      <c r="A898" t="e">
        <f>VLOOKUP(VALUE(RIGHT(B898,4)),'Waste Lookups'!$B$1:$C$295,2,FALSE)</f>
        <v>#N/A</v>
      </c>
      <c r="B898" s="74" t="s">
        <v>2539</v>
      </c>
      <c r="C898" s="74" t="s">
        <v>2540</v>
      </c>
      <c r="D898" s="74">
        <v>3.287060606060606</v>
      </c>
      <c r="E898" s="74">
        <v>0</v>
      </c>
      <c r="F898" s="74">
        <v>0</v>
      </c>
      <c r="G898" s="74">
        <v>0</v>
      </c>
      <c r="H898" s="74">
        <v>0</v>
      </c>
      <c r="I898" s="74"/>
      <c r="J898" s="74">
        <v>0.25513888888888886</v>
      </c>
      <c r="K898" s="74">
        <v>0</v>
      </c>
      <c r="L898" s="74">
        <v>0</v>
      </c>
      <c r="M898" s="74">
        <v>0</v>
      </c>
      <c r="N898" s="74">
        <v>0</v>
      </c>
    </row>
    <row r="899" spans="1:14" x14ac:dyDescent="0.25">
      <c r="A899" t="e">
        <f>VLOOKUP(VALUE(RIGHT(B899,4)),'Waste Lookups'!$B$1:$C$295,2,FALSE)</f>
        <v>#N/A</v>
      </c>
      <c r="B899" s="74" t="s">
        <v>2541</v>
      </c>
      <c r="C899" s="74" t="s">
        <v>2542</v>
      </c>
      <c r="D899" s="74">
        <v>72.978181818181824</v>
      </c>
      <c r="E899" s="74">
        <v>0</v>
      </c>
      <c r="F899" s="74">
        <v>0</v>
      </c>
      <c r="G899" s="74">
        <v>0</v>
      </c>
      <c r="H899" s="74">
        <v>0</v>
      </c>
      <c r="I899" s="74"/>
      <c r="J899" s="74">
        <v>2.8985833333333333</v>
      </c>
      <c r="K899" s="74">
        <v>0</v>
      </c>
      <c r="L899" s="74">
        <v>0</v>
      </c>
      <c r="M899" s="74">
        <v>0</v>
      </c>
      <c r="N899" s="74">
        <v>0</v>
      </c>
    </row>
    <row r="900" spans="1:14" x14ac:dyDescent="0.25">
      <c r="A900" t="e">
        <f>VLOOKUP(VALUE(RIGHT(B900,4)),'Waste Lookups'!$B$1:$C$295,2,FALSE)</f>
        <v>#N/A</v>
      </c>
      <c r="B900" s="74" t="s">
        <v>2543</v>
      </c>
      <c r="C900" s="74" t="s">
        <v>2544</v>
      </c>
      <c r="D900" s="74">
        <v>7.5833030303030293</v>
      </c>
      <c r="E900" s="74">
        <v>0</v>
      </c>
      <c r="F900" s="74">
        <v>0</v>
      </c>
      <c r="G900" s="74">
        <v>0</v>
      </c>
      <c r="H900" s="74">
        <v>0</v>
      </c>
      <c r="I900" s="74"/>
      <c r="J900" s="74">
        <v>0.84211111111111125</v>
      </c>
      <c r="K900" s="74">
        <v>0</v>
      </c>
      <c r="L900" s="74">
        <v>0</v>
      </c>
      <c r="M900" s="74">
        <v>0</v>
      </c>
      <c r="N900" s="74">
        <v>0</v>
      </c>
    </row>
    <row r="901" spans="1:14" x14ac:dyDescent="0.25">
      <c r="A901" t="e">
        <f>VLOOKUP(VALUE(RIGHT(B901,4)),'Waste Lookups'!$B$1:$C$295,2,FALSE)</f>
        <v>#N/A</v>
      </c>
      <c r="B901" s="74" t="s">
        <v>2545</v>
      </c>
      <c r="C901" s="74" t="s">
        <v>2546</v>
      </c>
      <c r="D901" s="74">
        <v>22.727242424242423</v>
      </c>
      <c r="E901" s="74">
        <v>0</v>
      </c>
      <c r="F901" s="74">
        <v>0</v>
      </c>
      <c r="G901" s="74">
        <v>0</v>
      </c>
      <c r="H901" s="74">
        <v>0</v>
      </c>
      <c r="I901" s="74"/>
      <c r="J901" s="74">
        <v>0</v>
      </c>
      <c r="K901" s="74">
        <v>0</v>
      </c>
      <c r="L901" s="74">
        <v>0</v>
      </c>
      <c r="M901" s="74">
        <v>0</v>
      </c>
      <c r="N901" s="74">
        <v>0</v>
      </c>
    </row>
    <row r="902" spans="1:14" x14ac:dyDescent="0.25">
      <c r="A902" t="e">
        <f>VLOOKUP(VALUE(RIGHT(B902,4)),'Waste Lookups'!$B$1:$C$295,2,FALSE)</f>
        <v>#N/A</v>
      </c>
      <c r="B902" s="74" t="s">
        <v>2547</v>
      </c>
      <c r="C902" s="74" t="s">
        <v>2548</v>
      </c>
      <c r="D902" s="74">
        <v>77.333515151515158</v>
      </c>
      <c r="E902" s="74">
        <v>0</v>
      </c>
      <c r="F902" s="74">
        <v>0</v>
      </c>
      <c r="G902" s="74">
        <v>0</v>
      </c>
      <c r="H902" s="74">
        <v>0</v>
      </c>
      <c r="I902" s="74"/>
      <c r="J902" s="74">
        <v>4.8460000000000001</v>
      </c>
      <c r="K902" s="74">
        <v>0</v>
      </c>
      <c r="L902" s="74">
        <v>0</v>
      </c>
      <c r="M902" s="74">
        <v>0</v>
      </c>
      <c r="N902" s="74">
        <v>0</v>
      </c>
    </row>
    <row r="903" spans="1:14" x14ac:dyDescent="0.25">
      <c r="A903" t="e">
        <f>VLOOKUP(VALUE(RIGHT(B903,4)),'Waste Lookups'!$B$1:$C$295,2,FALSE)</f>
        <v>#N/A</v>
      </c>
      <c r="B903" s="74" t="s">
        <v>2549</v>
      </c>
      <c r="C903" s="74" t="s">
        <v>2550</v>
      </c>
      <c r="D903" s="74">
        <v>136.58524242424244</v>
      </c>
      <c r="E903" s="74">
        <v>0</v>
      </c>
      <c r="F903" s="74">
        <v>0</v>
      </c>
      <c r="G903" s="74">
        <v>0</v>
      </c>
      <c r="H903" s="74">
        <v>0</v>
      </c>
      <c r="I903" s="74"/>
      <c r="J903" s="74">
        <v>7.8704444444444457</v>
      </c>
      <c r="K903" s="74">
        <v>0</v>
      </c>
      <c r="L903" s="74">
        <v>0</v>
      </c>
      <c r="M903" s="74">
        <v>0</v>
      </c>
      <c r="N903" s="74">
        <v>0</v>
      </c>
    </row>
    <row r="904" spans="1:14" x14ac:dyDescent="0.25">
      <c r="A904" t="e">
        <f>VLOOKUP(VALUE(RIGHT(B904,4)),'Waste Lookups'!$B$1:$C$295,2,FALSE)</f>
        <v>#N/A</v>
      </c>
      <c r="B904" s="74" t="s">
        <v>2551</v>
      </c>
      <c r="C904" s="74" t="s">
        <v>2552</v>
      </c>
      <c r="D904" s="74">
        <v>22.885696969696969</v>
      </c>
      <c r="E904" s="74">
        <v>0</v>
      </c>
      <c r="F904" s="74">
        <v>0</v>
      </c>
      <c r="G904" s="74">
        <v>0</v>
      </c>
      <c r="H904" s="74">
        <v>0</v>
      </c>
      <c r="I904" s="74"/>
      <c r="J904" s="74">
        <v>1.9095</v>
      </c>
      <c r="K904" s="74">
        <v>0</v>
      </c>
      <c r="L904" s="74">
        <v>0</v>
      </c>
      <c r="M904" s="74">
        <v>0</v>
      </c>
      <c r="N904" s="74">
        <v>0</v>
      </c>
    </row>
    <row r="905" spans="1:14" x14ac:dyDescent="0.25">
      <c r="A905" t="e">
        <f>VLOOKUP(VALUE(RIGHT(B905,4)),'Waste Lookups'!$B$1:$C$295,2,FALSE)</f>
        <v>#N/A</v>
      </c>
      <c r="B905" s="74" t="s">
        <v>2553</v>
      </c>
      <c r="C905" s="74" t="s">
        <v>2554</v>
      </c>
      <c r="D905" s="74">
        <v>111.79548484848486</v>
      </c>
      <c r="E905" s="74">
        <v>0</v>
      </c>
      <c r="F905" s="74">
        <v>0</v>
      </c>
      <c r="G905" s="74">
        <v>0</v>
      </c>
      <c r="H905" s="74">
        <v>0</v>
      </c>
      <c r="I905" s="74"/>
      <c r="J905" s="74">
        <v>1.0558333333333334</v>
      </c>
      <c r="K905" s="74">
        <v>0</v>
      </c>
      <c r="L905" s="74">
        <v>0</v>
      </c>
      <c r="M905" s="74">
        <v>0</v>
      </c>
      <c r="N905" s="74">
        <v>0</v>
      </c>
    </row>
    <row r="906" spans="1:14" x14ac:dyDescent="0.25">
      <c r="A906" t="e">
        <f>VLOOKUP(VALUE(RIGHT(B906,4)),'Waste Lookups'!$B$1:$C$295,2,FALSE)</f>
        <v>#N/A</v>
      </c>
      <c r="B906" s="74" t="s">
        <v>2555</v>
      </c>
      <c r="C906" s="74" t="s">
        <v>2556</v>
      </c>
      <c r="D906" s="74">
        <v>133.42039393939396</v>
      </c>
      <c r="E906" s="74">
        <v>0</v>
      </c>
      <c r="F906" s="74">
        <v>0</v>
      </c>
      <c r="G906" s="74">
        <v>0</v>
      </c>
      <c r="H906" s="74">
        <v>0</v>
      </c>
      <c r="I906" s="74"/>
      <c r="J906" s="74">
        <v>4.3003333333333327</v>
      </c>
      <c r="K906" s="74">
        <v>0</v>
      </c>
      <c r="L906" s="74">
        <v>0</v>
      </c>
      <c r="M906" s="74">
        <v>0</v>
      </c>
      <c r="N906" s="74">
        <v>0</v>
      </c>
    </row>
    <row r="907" spans="1:14" x14ac:dyDescent="0.25">
      <c r="A907" t="e">
        <f>VLOOKUP(VALUE(RIGHT(B907,4)),'Waste Lookups'!$B$1:$C$295,2,FALSE)</f>
        <v>#N/A</v>
      </c>
      <c r="B907" s="74" t="s">
        <v>2557</v>
      </c>
      <c r="C907" s="74" t="s">
        <v>2558</v>
      </c>
      <c r="D907" s="74">
        <v>19.416666666666668</v>
      </c>
      <c r="E907" s="74">
        <v>3.8125199999999997</v>
      </c>
      <c r="F907" s="74">
        <v>0</v>
      </c>
      <c r="G907" s="74">
        <v>0</v>
      </c>
      <c r="H907" s="74">
        <v>0</v>
      </c>
      <c r="I907" s="74"/>
      <c r="J907" s="74">
        <v>4.6981235036193949</v>
      </c>
      <c r="K907" s="74">
        <v>0.92249046283359737</v>
      </c>
      <c r="L907" s="74">
        <v>0</v>
      </c>
      <c r="M907" s="74">
        <v>0</v>
      </c>
      <c r="N907" s="74">
        <v>0</v>
      </c>
    </row>
    <row r="908" spans="1:14" x14ac:dyDescent="0.25">
      <c r="A908" t="e">
        <f>VLOOKUP(VALUE(RIGHT(B908,4)),'Waste Lookups'!$B$1:$C$295,2,FALSE)</f>
        <v>#N/A</v>
      </c>
      <c r="B908" s="74" t="s">
        <v>2559</v>
      </c>
      <c r="C908" s="74" t="s">
        <v>2560</v>
      </c>
      <c r="D908" s="74">
        <v>52.832030303030308</v>
      </c>
      <c r="E908" s="74">
        <v>0</v>
      </c>
      <c r="F908" s="74">
        <v>0</v>
      </c>
      <c r="G908" s="74">
        <v>0</v>
      </c>
      <c r="H908" s="74">
        <v>0</v>
      </c>
      <c r="I908" s="74"/>
      <c r="J908" s="74">
        <v>0.86411111111111105</v>
      </c>
      <c r="K908" s="74">
        <v>0</v>
      </c>
      <c r="L908" s="74">
        <v>0</v>
      </c>
      <c r="M908" s="74">
        <v>0</v>
      </c>
      <c r="N908" s="74">
        <v>0</v>
      </c>
    </row>
    <row r="909" spans="1:14" x14ac:dyDescent="0.25">
      <c r="A909" t="e">
        <f>VLOOKUP(VALUE(RIGHT(B909,4)),'Waste Lookups'!$B$1:$C$295,2,FALSE)</f>
        <v>#N/A</v>
      </c>
      <c r="B909" s="74" t="s">
        <v>2561</v>
      </c>
      <c r="C909" s="74" t="s">
        <v>2562</v>
      </c>
      <c r="D909" s="74">
        <v>103.4488484848485</v>
      </c>
      <c r="E909" s="74">
        <v>0</v>
      </c>
      <c r="F909" s="74">
        <v>0</v>
      </c>
      <c r="G909" s="74">
        <v>0</v>
      </c>
      <c r="H909" s="74">
        <v>0</v>
      </c>
      <c r="I909" s="74"/>
      <c r="J909" s="74">
        <v>11.461388888888891</v>
      </c>
      <c r="K909" s="74">
        <v>0</v>
      </c>
      <c r="L909" s="74">
        <v>0</v>
      </c>
      <c r="M909" s="74">
        <v>0</v>
      </c>
      <c r="N909" s="74">
        <v>0</v>
      </c>
    </row>
    <row r="910" spans="1:14" x14ac:dyDescent="0.25">
      <c r="A910" t="e">
        <f>VLOOKUP(VALUE(RIGHT(B910,4)),'Waste Lookups'!$B$1:$C$295,2,FALSE)</f>
        <v>#N/A</v>
      </c>
      <c r="B910" s="74" t="s">
        <v>2563</v>
      </c>
      <c r="C910" s="74" t="s">
        <v>2564</v>
      </c>
      <c r="D910" s="74">
        <v>16.287424242424244</v>
      </c>
      <c r="E910" s="74">
        <v>0</v>
      </c>
      <c r="F910" s="74">
        <v>0</v>
      </c>
      <c r="G910" s="74">
        <v>0</v>
      </c>
      <c r="H910" s="74">
        <v>0</v>
      </c>
      <c r="I910" s="74"/>
      <c r="J910" s="74">
        <v>2.3255555555555558</v>
      </c>
      <c r="K910" s="74">
        <v>0</v>
      </c>
      <c r="L910" s="74">
        <v>0</v>
      </c>
      <c r="M910" s="74">
        <v>0</v>
      </c>
      <c r="N910" s="74">
        <v>0</v>
      </c>
    </row>
    <row r="911" spans="1:14" x14ac:dyDescent="0.25">
      <c r="A911" t="str">
        <f>VLOOKUP(VALUE(RIGHT(B911,4)),'Waste Lookups'!$B$1:$C$295,2,FALSE)</f>
        <v>Goscote House</v>
      </c>
      <c r="B911" s="74" t="s">
        <v>800</v>
      </c>
      <c r="C911" s="74" t="s">
        <v>2565</v>
      </c>
      <c r="D911" s="74">
        <v>34.674060606060607</v>
      </c>
      <c r="E911" s="74">
        <v>0</v>
      </c>
      <c r="F911" s="74">
        <v>0</v>
      </c>
      <c r="G911" s="74">
        <v>0</v>
      </c>
      <c r="H911" s="74">
        <v>2.517846578584106</v>
      </c>
      <c r="I911" s="74"/>
      <c r="J911" s="74">
        <v>9.4707732476591868</v>
      </c>
      <c r="K911" s="74">
        <v>0</v>
      </c>
      <c r="L911" s="74">
        <v>0</v>
      </c>
      <c r="M911" s="74">
        <v>0</v>
      </c>
      <c r="N911" s="74">
        <v>0.68771737723722437</v>
      </c>
    </row>
    <row r="912" spans="1:14" x14ac:dyDescent="0.25">
      <c r="A912" t="e">
        <f>VLOOKUP(VALUE(RIGHT(B912,4)),'Waste Lookups'!$B$1:$C$295,2,FALSE)</f>
        <v>#N/A</v>
      </c>
      <c r="B912" s="74" t="s">
        <v>2566</v>
      </c>
      <c r="C912" s="74" t="s">
        <v>2567</v>
      </c>
      <c r="D912" s="74">
        <v>79.860363636363616</v>
      </c>
      <c r="E912" s="74">
        <v>0</v>
      </c>
      <c r="F912" s="74">
        <v>0</v>
      </c>
      <c r="G912" s="74">
        <v>0</v>
      </c>
      <c r="H912" s="74">
        <v>0</v>
      </c>
      <c r="I912" s="74"/>
      <c r="J912" s="74">
        <v>5.072916666666667</v>
      </c>
      <c r="K912" s="74">
        <v>0</v>
      </c>
      <c r="L912" s="74">
        <v>0</v>
      </c>
      <c r="M912" s="74">
        <v>0</v>
      </c>
      <c r="N912" s="74">
        <v>0</v>
      </c>
    </row>
    <row r="913" spans="1:14" x14ac:dyDescent="0.25">
      <c r="A913" t="e">
        <f>VLOOKUP(VALUE(RIGHT(B913,4)),'Waste Lookups'!$B$1:$C$295,2,FALSE)</f>
        <v>#N/A</v>
      </c>
      <c r="B913" s="74" t="s">
        <v>2568</v>
      </c>
      <c r="C913" s="74" t="s">
        <v>2569</v>
      </c>
      <c r="D913" s="74">
        <v>42.690181818181813</v>
      </c>
      <c r="E913" s="74">
        <v>0</v>
      </c>
      <c r="F913" s="74">
        <v>0</v>
      </c>
      <c r="G913" s="74">
        <v>0</v>
      </c>
      <c r="H913" s="74">
        <v>0</v>
      </c>
      <c r="I913" s="74"/>
      <c r="J913" s="74">
        <v>2.4367777777777779</v>
      </c>
      <c r="K913" s="74">
        <v>0</v>
      </c>
      <c r="L913" s="74">
        <v>0</v>
      </c>
      <c r="M913" s="74">
        <v>0</v>
      </c>
      <c r="N913" s="74">
        <v>0</v>
      </c>
    </row>
    <row r="914" spans="1:14" x14ac:dyDescent="0.25">
      <c r="A914" t="e">
        <f>VLOOKUP(VALUE(RIGHT(B914,4)),'Waste Lookups'!$B$1:$C$295,2,FALSE)</f>
        <v>#N/A</v>
      </c>
      <c r="B914" s="74" t="s">
        <v>2570</v>
      </c>
      <c r="C914" s="74" t="s">
        <v>2571</v>
      </c>
      <c r="D914" s="74">
        <v>2.0479696969696972</v>
      </c>
      <c r="E914" s="74">
        <v>0</v>
      </c>
      <c r="F914" s="74">
        <v>0</v>
      </c>
      <c r="G914" s="74">
        <v>0</v>
      </c>
      <c r="H914" s="74">
        <v>0</v>
      </c>
      <c r="I914" s="74"/>
      <c r="J914" s="74">
        <v>1.1045555555555557</v>
      </c>
      <c r="K914" s="74">
        <v>0</v>
      </c>
      <c r="L914" s="74">
        <v>0</v>
      </c>
      <c r="M914" s="74">
        <v>0</v>
      </c>
      <c r="N914" s="74">
        <v>0</v>
      </c>
    </row>
    <row r="915" spans="1:14" x14ac:dyDescent="0.25">
      <c r="A915" t="str">
        <f>VLOOKUP(VALUE(RIGHT(B915,4)),'Waste Lookups'!$B$1:$C$295,2,FALSE)</f>
        <v>Jubilee House</v>
      </c>
      <c r="B915" s="74" t="s">
        <v>654</v>
      </c>
      <c r="C915" s="74" t="s">
        <v>2572</v>
      </c>
      <c r="D915" s="74">
        <v>74.550090909090898</v>
      </c>
      <c r="E915" s="74">
        <v>0</v>
      </c>
      <c r="F915" s="74">
        <v>0</v>
      </c>
      <c r="G915" s="74">
        <v>0</v>
      </c>
      <c r="H915" s="74">
        <v>4.2405837112995464</v>
      </c>
      <c r="I915" s="74"/>
      <c r="J915" s="74">
        <v>415.68204816313164</v>
      </c>
      <c r="K915" s="74">
        <v>0</v>
      </c>
      <c r="L915" s="74">
        <v>0</v>
      </c>
      <c r="M915" s="74">
        <v>0</v>
      </c>
      <c r="N915" s="74">
        <v>23.644968115059068</v>
      </c>
    </row>
    <row r="916" spans="1:14" x14ac:dyDescent="0.25">
      <c r="A916" t="e">
        <f>VLOOKUP(VALUE(RIGHT(B916,4)),'Waste Lookups'!$B$1:$C$295,2,FALSE)</f>
        <v>#N/A</v>
      </c>
      <c r="B916" s="74" t="s">
        <v>2573</v>
      </c>
      <c r="C916" s="74" t="s">
        <v>2574</v>
      </c>
      <c r="D916" s="74">
        <v>52.56836363636365</v>
      </c>
      <c r="E916" s="74">
        <v>0</v>
      </c>
      <c r="F916" s="74">
        <v>0</v>
      </c>
      <c r="G916" s="74">
        <v>0</v>
      </c>
      <c r="H916" s="74">
        <v>0</v>
      </c>
      <c r="I916" s="74"/>
      <c r="J916" s="74">
        <v>1.5658333333333334</v>
      </c>
      <c r="K916" s="74">
        <v>0</v>
      </c>
      <c r="L916" s="74">
        <v>0</v>
      </c>
      <c r="M916" s="74">
        <v>0</v>
      </c>
      <c r="N916" s="74">
        <v>0</v>
      </c>
    </row>
    <row r="917" spans="1:14" x14ac:dyDescent="0.25">
      <c r="A917" t="e">
        <f>VLOOKUP(VALUE(RIGHT(B917,4)),'Waste Lookups'!$B$1:$C$295,2,FALSE)</f>
        <v>#N/A</v>
      </c>
      <c r="B917" s="74" t="s">
        <v>2575</v>
      </c>
      <c r="C917" s="74" t="s">
        <v>2576</v>
      </c>
      <c r="D917" s="74">
        <v>121.69887878787878</v>
      </c>
      <c r="E917" s="74">
        <v>2.3460000000000001</v>
      </c>
      <c r="F917" s="74">
        <v>0</v>
      </c>
      <c r="G917" s="74">
        <v>0</v>
      </c>
      <c r="H917" s="74">
        <v>0</v>
      </c>
      <c r="I917" s="74"/>
      <c r="J917" s="74">
        <v>5.5537349307194583</v>
      </c>
      <c r="K917" s="74">
        <v>0.10705983717547235</v>
      </c>
      <c r="L917" s="74">
        <v>0</v>
      </c>
      <c r="M917" s="74">
        <v>0</v>
      </c>
      <c r="N917" s="74">
        <v>0</v>
      </c>
    </row>
    <row r="918" spans="1:14" x14ac:dyDescent="0.25">
      <c r="A918" t="e">
        <f>VLOOKUP(VALUE(RIGHT(B918,4)),'Waste Lookups'!$B$1:$C$295,2,FALSE)</f>
        <v>#N/A</v>
      </c>
      <c r="B918" s="74" t="s">
        <v>2577</v>
      </c>
      <c r="C918" s="74" t="s">
        <v>2578</v>
      </c>
      <c r="D918" s="74">
        <v>22.22221212121212</v>
      </c>
      <c r="E918" s="74">
        <v>0</v>
      </c>
      <c r="F918" s="74">
        <v>0</v>
      </c>
      <c r="G918" s="74">
        <v>0</v>
      </c>
      <c r="H918" s="74">
        <v>0</v>
      </c>
      <c r="I918" s="74"/>
      <c r="J918" s="74">
        <v>1.3770000000000002</v>
      </c>
      <c r="K918" s="74">
        <v>0</v>
      </c>
      <c r="L918" s="74">
        <v>0</v>
      </c>
      <c r="M918" s="74">
        <v>0</v>
      </c>
      <c r="N918" s="74">
        <v>0</v>
      </c>
    </row>
    <row r="919" spans="1:14" x14ac:dyDescent="0.25">
      <c r="A919" t="e">
        <f>VLOOKUP(VALUE(RIGHT(B919,4)),'Waste Lookups'!$B$1:$C$295,2,FALSE)</f>
        <v>#N/A</v>
      </c>
      <c r="B919" s="74" t="s">
        <v>2579</v>
      </c>
      <c r="C919" s="74" t="s">
        <v>2580</v>
      </c>
      <c r="D919" s="74">
        <v>58.933303030303037</v>
      </c>
      <c r="E919" s="74">
        <v>0</v>
      </c>
      <c r="F919" s="74">
        <v>0</v>
      </c>
      <c r="G919" s="74">
        <v>0</v>
      </c>
      <c r="H919" s="74">
        <v>0</v>
      </c>
      <c r="I919" s="74"/>
      <c r="J919" s="74">
        <v>4.4613333333333332</v>
      </c>
      <c r="K919" s="74">
        <v>0</v>
      </c>
      <c r="L919" s="74">
        <v>0</v>
      </c>
      <c r="M919" s="74">
        <v>0</v>
      </c>
      <c r="N919" s="74">
        <v>0</v>
      </c>
    </row>
    <row r="920" spans="1:14" x14ac:dyDescent="0.25">
      <c r="A920" t="e">
        <f>VLOOKUP(VALUE(RIGHT(B920,4)),'Waste Lookups'!$B$1:$C$295,2,FALSE)</f>
        <v>#N/A</v>
      </c>
      <c r="B920" s="74" t="s">
        <v>2581</v>
      </c>
      <c r="C920" s="74" t="s">
        <v>2582</v>
      </c>
      <c r="D920" s="74">
        <v>4.6527878787878789</v>
      </c>
      <c r="E920" s="74">
        <v>0</v>
      </c>
      <c r="F920" s="74">
        <v>0</v>
      </c>
      <c r="G920" s="74">
        <v>0</v>
      </c>
      <c r="H920" s="74">
        <v>0</v>
      </c>
      <c r="I920" s="74"/>
      <c r="J920" s="74">
        <v>1.3202222222222222</v>
      </c>
      <c r="K920" s="74">
        <v>0</v>
      </c>
      <c r="L920" s="74">
        <v>0</v>
      </c>
      <c r="M920" s="74">
        <v>0</v>
      </c>
      <c r="N920" s="74">
        <v>0</v>
      </c>
    </row>
    <row r="921" spans="1:14" x14ac:dyDescent="0.25">
      <c r="A921" t="e">
        <f>VLOOKUP(VALUE(RIGHT(B921,4)),'Waste Lookups'!$B$1:$C$295,2,FALSE)</f>
        <v>#N/A</v>
      </c>
      <c r="B921" s="74" t="s">
        <v>2583</v>
      </c>
      <c r="C921" s="74" t="s">
        <v>2584</v>
      </c>
      <c r="D921" s="74">
        <v>91.438696969696977</v>
      </c>
      <c r="E921" s="74">
        <v>0</v>
      </c>
      <c r="F921" s="74">
        <v>0</v>
      </c>
      <c r="G921" s="74">
        <v>0</v>
      </c>
      <c r="H921" s="74">
        <v>0</v>
      </c>
      <c r="I921" s="74"/>
      <c r="J921" s="74">
        <v>3.9050555555555557</v>
      </c>
      <c r="K921" s="74">
        <v>0</v>
      </c>
      <c r="L921" s="74">
        <v>0</v>
      </c>
      <c r="M921" s="74">
        <v>0</v>
      </c>
      <c r="N921" s="74">
        <v>0</v>
      </c>
    </row>
    <row r="922" spans="1:14" x14ac:dyDescent="0.25">
      <c r="A922" t="e">
        <f>VLOOKUP(VALUE(RIGHT(B922,4)),'Waste Lookups'!$B$1:$C$295,2,FALSE)</f>
        <v>#N/A</v>
      </c>
      <c r="B922" s="74" t="s">
        <v>2585</v>
      </c>
      <c r="C922" s="74" t="s">
        <v>2586</v>
      </c>
      <c r="D922" s="74">
        <v>0.45933333333333337</v>
      </c>
      <c r="E922" s="74">
        <v>0</v>
      </c>
      <c r="F922" s="74">
        <v>0</v>
      </c>
      <c r="G922" s="74">
        <v>1.36422</v>
      </c>
      <c r="H922" s="74">
        <v>0</v>
      </c>
      <c r="I922" s="74"/>
      <c r="J922" s="74">
        <v>0.21052777777777781</v>
      </c>
      <c r="K922" s="74">
        <v>0</v>
      </c>
      <c r="L922" s="74">
        <v>0</v>
      </c>
      <c r="M922" s="74">
        <v>0.62526750000000009</v>
      </c>
      <c r="N922" s="74">
        <v>0</v>
      </c>
    </row>
    <row r="923" spans="1:14" x14ac:dyDescent="0.25">
      <c r="A923" t="e">
        <f>VLOOKUP(VALUE(RIGHT(B923,4)),'Waste Lookups'!$B$1:$C$295,2,FALSE)</f>
        <v>#N/A</v>
      </c>
      <c r="B923" s="74" t="s">
        <v>2587</v>
      </c>
      <c r="C923" s="74" t="s">
        <v>2588</v>
      </c>
      <c r="D923" s="74">
        <v>62.664757575757569</v>
      </c>
      <c r="E923" s="74">
        <v>0</v>
      </c>
      <c r="F923" s="74">
        <v>0</v>
      </c>
      <c r="G923" s="74">
        <v>0</v>
      </c>
      <c r="H923" s="74">
        <v>0</v>
      </c>
      <c r="I923" s="74"/>
      <c r="J923" s="74">
        <v>1.914611111111111</v>
      </c>
      <c r="K923" s="74">
        <v>0</v>
      </c>
      <c r="L923" s="74">
        <v>0</v>
      </c>
      <c r="M923" s="74">
        <v>0</v>
      </c>
      <c r="N923" s="74">
        <v>0</v>
      </c>
    </row>
    <row r="924" spans="1:14" x14ac:dyDescent="0.25">
      <c r="A924" t="e">
        <f>VLOOKUP(VALUE(RIGHT(B924,4)),'Waste Lookups'!$B$1:$C$295,2,FALSE)</f>
        <v>#N/A</v>
      </c>
      <c r="B924" s="74" t="s">
        <v>2589</v>
      </c>
      <c r="C924" s="74" t="s">
        <v>2590</v>
      </c>
      <c r="D924" s="74">
        <v>27.589878787878789</v>
      </c>
      <c r="E924" s="74">
        <v>0</v>
      </c>
      <c r="F924" s="74">
        <v>0</v>
      </c>
      <c r="G924" s="74">
        <v>0</v>
      </c>
      <c r="H924" s="74">
        <v>0</v>
      </c>
      <c r="I924" s="74"/>
      <c r="J924" s="74">
        <v>2.5163611111111113</v>
      </c>
      <c r="K924" s="74">
        <v>0</v>
      </c>
      <c r="L924" s="74">
        <v>0</v>
      </c>
      <c r="M924" s="74">
        <v>0</v>
      </c>
      <c r="N924" s="74">
        <v>0</v>
      </c>
    </row>
    <row r="925" spans="1:14" x14ac:dyDescent="0.25">
      <c r="A925" t="e">
        <f>VLOOKUP(VALUE(RIGHT(B925,4)),'Waste Lookups'!$B$1:$C$295,2,FALSE)</f>
        <v>#N/A</v>
      </c>
      <c r="B925" s="74" t="s">
        <v>2591</v>
      </c>
      <c r="C925" s="74" t="s">
        <v>2592</v>
      </c>
      <c r="D925" s="74">
        <v>17.316666666666666</v>
      </c>
      <c r="E925" s="74">
        <v>3.6246</v>
      </c>
      <c r="F925" s="74">
        <v>0</v>
      </c>
      <c r="G925" s="74">
        <v>4.1936399999999994</v>
      </c>
      <c r="H925" s="74">
        <v>0</v>
      </c>
      <c r="I925" s="74"/>
      <c r="J925" s="74">
        <v>3.1425471216998599</v>
      </c>
      <c r="K925" s="74">
        <v>0.65777533959460899</v>
      </c>
      <c r="L925" s="74">
        <v>0</v>
      </c>
      <c r="M925" s="74">
        <v>0.76104203915950341</v>
      </c>
      <c r="N925" s="74">
        <v>0</v>
      </c>
    </row>
    <row r="926" spans="1:14" x14ac:dyDescent="0.25">
      <c r="A926" t="e">
        <f>VLOOKUP(VALUE(RIGHT(B926,4)),'Waste Lookups'!$B$1:$C$295,2,FALSE)</f>
        <v>#N/A</v>
      </c>
      <c r="B926" s="74" t="s">
        <v>2593</v>
      </c>
      <c r="C926" s="74" t="s">
        <v>2594</v>
      </c>
      <c r="D926" s="74">
        <v>15.269454545454545</v>
      </c>
      <c r="E926" s="74">
        <v>1.7092199999999997</v>
      </c>
      <c r="F926" s="74">
        <v>0</v>
      </c>
      <c r="G926" s="74">
        <v>1.30725</v>
      </c>
      <c r="H926" s="74">
        <v>0</v>
      </c>
      <c r="I926" s="74"/>
      <c r="J926" s="74">
        <v>1.2713912661088602</v>
      </c>
      <c r="K926" s="74">
        <v>0.14231597948634492</v>
      </c>
      <c r="L926" s="74">
        <v>0</v>
      </c>
      <c r="M926" s="74">
        <v>0.10884647042716822</v>
      </c>
      <c r="N926" s="74">
        <v>0</v>
      </c>
    </row>
    <row r="927" spans="1:14" x14ac:dyDescent="0.25">
      <c r="A927" t="e">
        <f>VLOOKUP(VALUE(RIGHT(B927,4)),'Waste Lookups'!$B$1:$C$295,2,FALSE)</f>
        <v>#N/A</v>
      </c>
      <c r="B927" s="74" t="s">
        <v>2595</v>
      </c>
      <c r="C927" s="74" t="s">
        <v>2596</v>
      </c>
      <c r="D927" s="74">
        <v>0</v>
      </c>
      <c r="E927" s="74">
        <v>4.3803599999999987</v>
      </c>
      <c r="F927" s="74">
        <v>0</v>
      </c>
      <c r="G927" s="74">
        <v>3.6016200000000005</v>
      </c>
      <c r="H927" s="74">
        <v>0</v>
      </c>
      <c r="I927" s="74"/>
      <c r="J927" s="74">
        <v>0</v>
      </c>
      <c r="K927" s="74">
        <v>4.9148571411381639</v>
      </c>
      <c r="L927" s="74">
        <v>0</v>
      </c>
      <c r="M927" s="74">
        <v>4.0410942882927516</v>
      </c>
      <c r="N927" s="74">
        <v>0</v>
      </c>
    </row>
    <row r="928" spans="1:14" x14ac:dyDescent="0.25">
      <c r="A928" t="e">
        <f>VLOOKUP(VALUE(RIGHT(B928,4)),'Waste Lookups'!$B$1:$C$295,2,FALSE)</f>
        <v>#N/A</v>
      </c>
      <c r="B928" s="74" t="s">
        <v>2597</v>
      </c>
      <c r="C928" s="74" t="s">
        <v>2598</v>
      </c>
      <c r="D928" s="74">
        <v>14.375</v>
      </c>
      <c r="E928" s="74">
        <v>3.4663200000000001</v>
      </c>
      <c r="F928" s="74">
        <v>0</v>
      </c>
      <c r="G928" s="74">
        <v>1.6273799999999998</v>
      </c>
      <c r="H928" s="74">
        <v>0</v>
      </c>
      <c r="I928" s="74"/>
      <c r="J928" s="74">
        <v>1.8558304246958996</v>
      </c>
      <c r="K928" s="74">
        <v>0.44750623427700104</v>
      </c>
      <c r="L928" s="74">
        <v>0</v>
      </c>
      <c r="M928" s="74">
        <v>0.21009678723767741</v>
      </c>
      <c r="N928" s="74">
        <v>0</v>
      </c>
    </row>
    <row r="929" spans="1:14" x14ac:dyDescent="0.25">
      <c r="A929" t="e">
        <f>VLOOKUP(VALUE(RIGHT(B929,4)),'Waste Lookups'!$B$1:$C$295,2,FALSE)</f>
        <v>#N/A</v>
      </c>
      <c r="B929" s="74" t="s">
        <v>2599</v>
      </c>
      <c r="C929" s="74" t="s">
        <v>2600</v>
      </c>
      <c r="D929" s="74">
        <v>0</v>
      </c>
      <c r="E929" s="74">
        <v>1.8727799999999999</v>
      </c>
      <c r="F929" s="74">
        <v>0</v>
      </c>
      <c r="G929" s="74">
        <v>1.5286499999999998</v>
      </c>
      <c r="H929" s="74">
        <v>0</v>
      </c>
      <c r="I929" s="74"/>
      <c r="J929" s="74">
        <v>0</v>
      </c>
      <c r="K929" s="74">
        <v>2.9712511992198851</v>
      </c>
      <c r="L929" s="74">
        <v>0</v>
      </c>
      <c r="M929" s="74">
        <v>2.4252732011701732</v>
      </c>
      <c r="N929" s="74">
        <v>0</v>
      </c>
    </row>
    <row r="930" spans="1:14" x14ac:dyDescent="0.25">
      <c r="A930" t="e">
        <f>VLOOKUP(VALUE(RIGHT(B930,4)),'Waste Lookups'!$B$1:$C$295,2,FALSE)</f>
        <v>#N/A</v>
      </c>
      <c r="B930" s="74" t="s">
        <v>2601</v>
      </c>
      <c r="C930" s="74" t="s">
        <v>2602</v>
      </c>
      <c r="D930" s="74">
        <v>12.225</v>
      </c>
      <c r="E930" s="74">
        <v>1.65924</v>
      </c>
      <c r="F930" s="74">
        <v>0</v>
      </c>
      <c r="G930" s="74">
        <v>0.87507000000000001</v>
      </c>
      <c r="H930" s="74">
        <v>0</v>
      </c>
      <c r="I930" s="74"/>
      <c r="J930" s="74">
        <v>1.0193370266015127</v>
      </c>
      <c r="K930" s="74">
        <v>0.13834967427552505</v>
      </c>
      <c r="L930" s="74">
        <v>0</v>
      </c>
      <c r="M930" s="74">
        <v>7.2964519580219683E-2</v>
      </c>
      <c r="N930" s="74">
        <v>0</v>
      </c>
    </row>
    <row r="931" spans="1:14" x14ac:dyDescent="0.25">
      <c r="A931" t="e">
        <f>VLOOKUP(VALUE(RIGHT(B931,4)),'Waste Lookups'!$B$1:$C$295,2,FALSE)</f>
        <v>#N/A</v>
      </c>
      <c r="B931" s="74" t="s">
        <v>2603</v>
      </c>
      <c r="C931" s="74" t="s">
        <v>2604</v>
      </c>
      <c r="D931" s="74">
        <v>78.605000000000018</v>
      </c>
      <c r="E931" s="74">
        <v>0.52895999999999987</v>
      </c>
      <c r="F931" s="74">
        <v>0</v>
      </c>
      <c r="G931" s="74">
        <v>1.6886699999999999</v>
      </c>
      <c r="H931" s="74">
        <v>0</v>
      </c>
      <c r="I931" s="74"/>
      <c r="J931" s="74">
        <v>58.172675584502883</v>
      </c>
      <c r="K931" s="74">
        <v>0.39146388241433283</v>
      </c>
      <c r="L931" s="74">
        <v>0</v>
      </c>
      <c r="M931" s="74">
        <v>1.2497226904049674</v>
      </c>
      <c r="N931" s="74">
        <v>0</v>
      </c>
    </row>
    <row r="932" spans="1:14" x14ac:dyDescent="0.25">
      <c r="A932" t="e">
        <f>VLOOKUP(VALUE(RIGHT(B932,4)),'Waste Lookups'!$B$1:$C$295,2,FALSE)</f>
        <v>#N/A</v>
      </c>
      <c r="B932" s="74" t="s">
        <v>2605</v>
      </c>
      <c r="C932" s="74" t="s">
        <v>2606</v>
      </c>
      <c r="D932" s="74">
        <v>5.0504848484848495</v>
      </c>
      <c r="E932" s="74">
        <v>0</v>
      </c>
      <c r="F932" s="74">
        <v>0</v>
      </c>
      <c r="G932" s="74">
        <v>0</v>
      </c>
      <c r="H932" s="74">
        <v>0</v>
      </c>
      <c r="I932" s="74"/>
      <c r="J932" s="74">
        <v>0</v>
      </c>
      <c r="K932" s="74">
        <v>0</v>
      </c>
      <c r="L932" s="74">
        <v>0</v>
      </c>
      <c r="M932" s="74">
        <v>0</v>
      </c>
      <c r="N932" s="74">
        <v>0</v>
      </c>
    </row>
    <row r="933" spans="1:14" x14ac:dyDescent="0.25">
      <c r="A933" t="e">
        <f>VLOOKUP(VALUE(RIGHT(B933,4)),'Waste Lookups'!$B$1:$C$295,2,FALSE)</f>
        <v>#N/A</v>
      </c>
      <c r="B933" s="74" t="s">
        <v>2607</v>
      </c>
      <c r="C933" s="74" t="s">
        <v>2608</v>
      </c>
      <c r="D933" s="74">
        <v>0.19563636363636366</v>
      </c>
      <c r="E933" s="74">
        <v>0</v>
      </c>
      <c r="F933" s="74">
        <v>0</v>
      </c>
      <c r="G933" s="74">
        <v>0</v>
      </c>
      <c r="H933" s="74">
        <v>0</v>
      </c>
      <c r="I933" s="74"/>
      <c r="J933" s="74">
        <v>1.302138888888889</v>
      </c>
      <c r="K933" s="74">
        <v>0</v>
      </c>
      <c r="L933" s="74">
        <v>0</v>
      </c>
      <c r="M933" s="74">
        <v>0</v>
      </c>
      <c r="N933" s="74">
        <v>0</v>
      </c>
    </row>
    <row r="934" spans="1:14" x14ac:dyDescent="0.25">
      <c r="A934" t="e">
        <f>VLOOKUP(VALUE(RIGHT(B934,4)),'Waste Lookups'!$B$1:$C$295,2,FALSE)</f>
        <v>#N/A</v>
      </c>
      <c r="B934" s="74" t="s">
        <v>2609</v>
      </c>
      <c r="C934" s="74" t="s">
        <v>2610</v>
      </c>
      <c r="D934" s="74">
        <v>16.06818181818182</v>
      </c>
      <c r="E934" s="74">
        <v>3.2203799999999996</v>
      </c>
      <c r="F934" s="74">
        <v>0</v>
      </c>
      <c r="G934" s="74">
        <v>2.3707800000000003</v>
      </c>
      <c r="H934" s="74">
        <v>0</v>
      </c>
      <c r="I934" s="74"/>
      <c r="J934" s="74">
        <v>2.3252323444186813</v>
      </c>
      <c r="K934" s="74">
        <v>0.46602234291660177</v>
      </c>
      <c r="L934" s="74">
        <v>0</v>
      </c>
      <c r="M934" s="74">
        <v>0.3430764227016132</v>
      </c>
      <c r="N934" s="74">
        <v>0</v>
      </c>
    </row>
    <row r="935" spans="1:14" x14ac:dyDescent="0.25">
      <c r="A935" t="e">
        <f>VLOOKUP(VALUE(RIGHT(B935,4)),'Waste Lookups'!$B$1:$C$295,2,FALSE)</f>
        <v>#N/A</v>
      </c>
      <c r="B935" s="74" t="s">
        <v>2611</v>
      </c>
      <c r="C935" s="74" t="s">
        <v>2612</v>
      </c>
      <c r="D935" s="74">
        <v>10.479787878787878</v>
      </c>
      <c r="E935" s="74">
        <v>2.6695199999999999</v>
      </c>
      <c r="F935" s="74">
        <v>0</v>
      </c>
      <c r="G935" s="74">
        <v>1.6886699999999999</v>
      </c>
      <c r="H935" s="74">
        <v>0</v>
      </c>
      <c r="I935" s="74"/>
      <c r="J935" s="74">
        <v>1.5271944446481494</v>
      </c>
      <c r="K935" s="74">
        <v>0.38902277040636735</v>
      </c>
      <c r="L935" s="74">
        <v>0</v>
      </c>
      <c r="M935" s="74">
        <v>0.24608584378544471</v>
      </c>
      <c r="N935" s="74">
        <v>0</v>
      </c>
    </row>
    <row r="936" spans="1:14" x14ac:dyDescent="0.25">
      <c r="A936" t="e">
        <f>VLOOKUP(VALUE(RIGHT(B936,4)),'Waste Lookups'!$B$1:$C$295,2,FALSE)</f>
        <v>#N/A</v>
      </c>
      <c r="B936" s="74" t="s">
        <v>2613</v>
      </c>
      <c r="C936" s="74" t="s">
        <v>2614</v>
      </c>
      <c r="D936" s="74">
        <v>8.2651515151515156</v>
      </c>
      <c r="E936" s="74">
        <v>0.85548000000000013</v>
      </c>
      <c r="F936" s="74">
        <v>0</v>
      </c>
      <c r="G936" s="74">
        <v>0.8883899999999999</v>
      </c>
      <c r="H936" s="74">
        <v>0</v>
      </c>
      <c r="I936" s="74"/>
      <c r="J936" s="74">
        <v>0.69639314333448987</v>
      </c>
      <c r="K936" s="74">
        <v>7.2079792508058849E-2</v>
      </c>
      <c r="L936" s="74">
        <v>0</v>
      </c>
      <c r="M936" s="74">
        <v>7.4852675534476998E-2</v>
      </c>
      <c r="N936" s="74">
        <v>0</v>
      </c>
    </row>
    <row r="937" spans="1:14" x14ac:dyDescent="0.25">
      <c r="A937" t="e">
        <f>VLOOKUP(VALUE(RIGHT(B937,4)),'Waste Lookups'!$B$1:$C$295,2,FALSE)</f>
        <v>#N/A</v>
      </c>
      <c r="B937" s="74" t="s">
        <v>2615</v>
      </c>
      <c r="C937" s="74" t="s">
        <v>2616</v>
      </c>
      <c r="D937" s="74">
        <v>26.818181818181817</v>
      </c>
      <c r="E937" s="74">
        <v>0</v>
      </c>
      <c r="F937" s="74">
        <v>0</v>
      </c>
      <c r="G937" s="74">
        <v>0</v>
      </c>
      <c r="H937" s="74">
        <v>0</v>
      </c>
      <c r="I937" s="74"/>
      <c r="J937" s="74">
        <v>0.33194444444444443</v>
      </c>
      <c r="K937" s="74">
        <v>0</v>
      </c>
      <c r="L937" s="74">
        <v>0</v>
      </c>
      <c r="M937" s="74">
        <v>0</v>
      </c>
      <c r="N937" s="74">
        <v>0</v>
      </c>
    </row>
    <row r="938" spans="1:14" x14ac:dyDescent="0.25">
      <c r="A938" t="e">
        <f>VLOOKUP(VALUE(RIGHT(B938,4)),'Waste Lookups'!$B$1:$C$295,2,FALSE)</f>
        <v>#N/A</v>
      </c>
      <c r="B938" s="74" t="s">
        <v>2617</v>
      </c>
      <c r="C938" s="74" t="s">
        <v>2618</v>
      </c>
      <c r="D938" s="74">
        <v>12.083333333333334</v>
      </c>
      <c r="E938" s="74">
        <v>2.22336</v>
      </c>
      <c r="F938" s="74">
        <v>0</v>
      </c>
      <c r="G938" s="74">
        <v>1.0767599999999999</v>
      </c>
      <c r="H938" s="74">
        <v>0</v>
      </c>
      <c r="I938" s="74"/>
      <c r="J938" s="74">
        <v>0.86648000089331556</v>
      </c>
      <c r="K938" s="74">
        <v>0.15943423239609616</v>
      </c>
      <c r="L938" s="74">
        <v>0</v>
      </c>
      <c r="M938" s="74">
        <v>7.7213048752707861E-2</v>
      </c>
      <c r="N938" s="74">
        <v>0</v>
      </c>
    </row>
    <row r="939" spans="1:14" x14ac:dyDescent="0.25">
      <c r="A939" t="e">
        <f>VLOOKUP(VALUE(RIGHT(B939,4)),'Waste Lookups'!$B$1:$C$295,2,FALSE)</f>
        <v>#N/A</v>
      </c>
      <c r="B939" s="74" t="s">
        <v>2619</v>
      </c>
      <c r="C939" s="74" t="s">
        <v>2620</v>
      </c>
      <c r="D939" s="74">
        <v>15</v>
      </c>
      <c r="E939" s="74">
        <v>3.1225199999999997</v>
      </c>
      <c r="F939" s="74">
        <v>0</v>
      </c>
      <c r="G939" s="74">
        <v>1.99908</v>
      </c>
      <c r="H939" s="74">
        <v>0</v>
      </c>
      <c r="I939" s="74"/>
      <c r="J939" s="74">
        <v>1.6908576839161429</v>
      </c>
      <c r="K939" s="74">
        <v>0.35198246234545555</v>
      </c>
      <c r="L939" s="74">
        <v>0</v>
      </c>
      <c r="M939" s="74">
        <v>0.22534398525087218</v>
      </c>
      <c r="N939" s="74">
        <v>0</v>
      </c>
    </row>
    <row r="940" spans="1:14" x14ac:dyDescent="0.25">
      <c r="A940" t="e">
        <f>VLOOKUP(VALUE(RIGHT(B940,4)),'Waste Lookups'!$B$1:$C$295,2,FALSE)</f>
        <v>#N/A</v>
      </c>
      <c r="B940" s="74" t="s">
        <v>2621</v>
      </c>
      <c r="C940" s="74" t="s">
        <v>2622</v>
      </c>
      <c r="D940" s="74">
        <v>8.7277878787878791</v>
      </c>
      <c r="E940" s="74">
        <v>1.9388999999999998</v>
      </c>
      <c r="F940" s="74">
        <v>0</v>
      </c>
      <c r="G940" s="74">
        <v>1.31067</v>
      </c>
      <c r="H940" s="74">
        <v>0</v>
      </c>
      <c r="I940" s="74"/>
      <c r="J940" s="74">
        <v>1.5339922134798469</v>
      </c>
      <c r="K940" s="74">
        <v>0.34078022335358837</v>
      </c>
      <c r="L940" s="74">
        <v>0</v>
      </c>
      <c r="M940" s="74">
        <v>0.23036279093447201</v>
      </c>
      <c r="N940" s="74">
        <v>0</v>
      </c>
    </row>
    <row r="941" spans="1:14" x14ac:dyDescent="0.25">
      <c r="A941" t="e">
        <f>VLOOKUP(VALUE(RIGHT(B941,4)),'Waste Lookups'!$B$1:$C$295,2,FALSE)</f>
        <v>#N/A</v>
      </c>
      <c r="B941" s="74" t="s">
        <v>2623</v>
      </c>
      <c r="C941" s="74" t="s">
        <v>2624</v>
      </c>
      <c r="D941" s="74">
        <v>1.9258181818181817</v>
      </c>
      <c r="E941" s="74">
        <v>2.3512799999999996</v>
      </c>
      <c r="F941" s="74">
        <v>0</v>
      </c>
      <c r="G941" s="74">
        <v>0.49356</v>
      </c>
      <c r="H941" s="74">
        <v>0</v>
      </c>
      <c r="I941" s="74"/>
      <c r="J941" s="74">
        <v>0.90576424206583883</v>
      </c>
      <c r="K941" s="74">
        <v>1.1058704124778238</v>
      </c>
      <c r="L941" s="74">
        <v>0</v>
      </c>
      <c r="M941" s="74">
        <v>0.23213458234772325</v>
      </c>
      <c r="N941" s="74">
        <v>0</v>
      </c>
    </row>
    <row r="942" spans="1:14" x14ac:dyDescent="0.25">
      <c r="A942" t="e">
        <f>VLOOKUP(VALUE(RIGHT(B942,4)),'Waste Lookups'!$B$1:$C$295,2,FALSE)</f>
        <v>#N/A</v>
      </c>
      <c r="B942" s="74" t="s">
        <v>2625</v>
      </c>
      <c r="C942" s="74" t="s">
        <v>2626</v>
      </c>
      <c r="D942" s="74">
        <v>16.926757575757577</v>
      </c>
      <c r="E942" s="74">
        <v>3.6316799999999998</v>
      </c>
      <c r="F942" s="74">
        <v>0</v>
      </c>
      <c r="G942" s="74">
        <v>2.5770599999999995</v>
      </c>
      <c r="H942" s="74">
        <v>0</v>
      </c>
      <c r="I942" s="74"/>
      <c r="J942" s="74">
        <v>2.4020284434632631</v>
      </c>
      <c r="K942" s="74">
        <v>0.51536146946715133</v>
      </c>
      <c r="L942" s="74">
        <v>0</v>
      </c>
      <c r="M942" s="74">
        <v>0.36570331871338246</v>
      </c>
      <c r="N942" s="74">
        <v>0</v>
      </c>
    </row>
    <row r="943" spans="1:14" x14ac:dyDescent="0.25">
      <c r="A943" t="e">
        <f>VLOOKUP(VALUE(RIGHT(B943,4)),'Waste Lookups'!$B$1:$C$295,2,FALSE)</f>
        <v>#N/A</v>
      </c>
      <c r="B943" s="74" t="s">
        <v>2627</v>
      </c>
      <c r="C943" s="74" t="s">
        <v>2628</v>
      </c>
      <c r="D943" s="74">
        <v>11.055545454545456</v>
      </c>
      <c r="E943" s="74">
        <v>1.1392200000000001</v>
      </c>
      <c r="F943" s="74">
        <v>0</v>
      </c>
      <c r="G943" s="74">
        <v>0.87992999999999999</v>
      </c>
      <c r="H943" s="74">
        <v>0</v>
      </c>
      <c r="I943" s="74"/>
      <c r="J943" s="74">
        <v>0.9724165066044711</v>
      </c>
      <c r="K943" s="74">
        <v>0.10020277490682092</v>
      </c>
      <c r="L943" s="74">
        <v>0</v>
      </c>
      <c r="M943" s="74">
        <v>7.7396313024489516E-2</v>
      </c>
      <c r="N943" s="74">
        <v>0</v>
      </c>
    </row>
    <row r="944" spans="1:14" x14ac:dyDescent="0.25">
      <c r="A944" t="e">
        <f>VLOOKUP(VALUE(RIGHT(B944,4)),'Waste Lookups'!$B$1:$C$295,2,FALSE)</f>
        <v>#N/A</v>
      </c>
      <c r="B944" s="74" t="s">
        <v>2629</v>
      </c>
      <c r="C944" s="74" t="s">
        <v>2630</v>
      </c>
      <c r="D944" s="74">
        <v>9.9873636363636358</v>
      </c>
      <c r="E944" s="74">
        <v>1.6382399999999999</v>
      </c>
      <c r="F944" s="74">
        <v>0</v>
      </c>
      <c r="G944" s="74">
        <v>1.1493</v>
      </c>
      <c r="H944" s="74">
        <v>0</v>
      </c>
      <c r="I944" s="74"/>
      <c r="J944" s="74">
        <v>1.1271696536699338</v>
      </c>
      <c r="K944" s="74">
        <v>0.18489107643031241</v>
      </c>
      <c r="L944" s="74">
        <v>0</v>
      </c>
      <c r="M944" s="74">
        <v>0.12970951395482835</v>
      </c>
      <c r="N944" s="74">
        <v>0</v>
      </c>
    </row>
    <row r="945" spans="1:14" x14ac:dyDescent="0.25">
      <c r="A945" t="e">
        <f>VLOOKUP(VALUE(RIGHT(B945,4)),'Waste Lookups'!$B$1:$C$295,2,FALSE)</f>
        <v>#N/A</v>
      </c>
      <c r="B945" s="74" t="s">
        <v>2631</v>
      </c>
      <c r="C945" s="74" t="s">
        <v>2632</v>
      </c>
      <c r="D945" s="74">
        <v>1.6313030303030307</v>
      </c>
      <c r="E945" s="74">
        <v>2.5717200000000005</v>
      </c>
      <c r="F945" s="74">
        <v>0</v>
      </c>
      <c r="G945" s="74">
        <v>0.78965999999999981</v>
      </c>
      <c r="H945" s="74">
        <v>0</v>
      </c>
      <c r="I945" s="74"/>
      <c r="J945" s="74">
        <v>0.59639201829710886</v>
      </c>
      <c r="K945" s="74">
        <v>0.94020133157610275</v>
      </c>
      <c r="L945" s="74">
        <v>0</v>
      </c>
      <c r="M945" s="74">
        <v>0.28869370829343211</v>
      </c>
      <c r="N945" s="74">
        <v>0</v>
      </c>
    </row>
    <row r="946" spans="1:14" x14ac:dyDescent="0.25">
      <c r="A946" t="str">
        <f>VLOOKUP(VALUE(RIGHT(B946,4)),'Waste Lookups'!$B$1:$C$295,2,FALSE)</f>
        <v>Cardinal Square</v>
      </c>
      <c r="B946" s="74" t="s">
        <v>664</v>
      </c>
      <c r="C946" s="74" t="s">
        <v>2633</v>
      </c>
      <c r="D946" s="74">
        <v>0</v>
      </c>
      <c r="E946" s="74">
        <v>0</v>
      </c>
      <c r="F946" s="74">
        <v>0</v>
      </c>
      <c r="G946" s="74">
        <v>0</v>
      </c>
      <c r="H946" s="74">
        <v>10.046958785249457</v>
      </c>
      <c r="I946" s="74"/>
      <c r="J946" s="74">
        <v>0</v>
      </c>
      <c r="K946" s="74">
        <v>0</v>
      </c>
      <c r="L946" s="74">
        <v>0</v>
      </c>
      <c r="M946" s="74">
        <v>0</v>
      </c>
      <c r="N946" s="74">
        <v>39.525998553868405</v>
      </c>
    </row>
    <row r="947" spans="1:14" x14ac:dyDescent="0.25">
      <c r="A947" t="e">
        <f>VLOOKUP(VALUE(RIGHT(B947,4)),'Waste Lookups'!$B$1:$C$295,2,FALSE)</f>
        <v>#N/A</v>
      </c>
      <c r="B947" s="74" t="s">
        <v>2634</v>
      </c>
      <c r="C947" s="74" t="s">
        <v>2635</v>
      </c>
      <c r="D947" s="74">
        <v>2.8448484848484856</v>
      </c>
      <c r="E947" s="74">
        <v>0</v>
      </c>
      <c r="F947" s="74">
        <v>0</v>
      </c>
      <c r="G947" s="74">
        <v>2.25108</v>
      </c>
      <c r="H947" s="74">
        <v>0</v>
      </c>
      <c r="I947" s="74"/>
      <c r="J947" s="74">
        <v>9.8593135226367927</v>
      </c>
      <c r="K947" s="74">
        <v>0</v>
      </c>
      <c r="L947" s="74">
        <v>0</v>
      </c>
      <c r="M947" s="74">
        <v>7.8015063377687319</v>
      </c>
      <c r="N947" s="74">
        <v>0</v>
      </c>
    </row>
    <row r="948" spans="1:14" x14ac:dyDescent="0.25">
      <c r="A948" t="e">
        <f>VLOOKUP(VALUE(RIGHT(B948,4)),'Waste Lookups'!$B$1:$C$295,2,FALSE)</f>
        <v>#N/A</v>
      </c>
      <c r="B948" s="74" t="s">
        <v>2636</v>
      </c>
      <c r="C948" s="74" t="s">
        <v>2637</v>
      </c>
      <c r="D948" s="74">
        <v>2.8288484848484847</v>
      </c>
      <c r="E948" s="74">
        <v>0</v>
      </c>
      <c r="F948" s="74">
        <v>0</v>
      </c>
      <c r="G948" s="74">
        <v>4.1075100000000004</v>
      </c>
      <c r="H948" s="74">
        <v>0</v>
      </c>
      <c r="I948" s="74"/>
      <c r="J948" s="74">
        <v>12.861432604349284</v>
      </c>
      <c r="K948" s="74">
        <v>0</v>
      </c>
      <c r="L948" s="74">
        <v>0</v>
      </c>
      <c r="M948" s="74">
        <v>18.674900165082633</v>
      </c>
      <c r="N948" s="74">
        <v>0</v>
      </c>
    </row>
    <row r="949" spans="1:14" x14ac:dyDescent="0.25">
      <c r="A949" t="e">
        <f>VLOOKUP(VALUE(RIGHT(B949,4)),'Waste Lookups'!$B$1:$C$295,2,FALSE)</f>
        <v>#N/A</v>
      </c>
      <c r="B949" s="74" t="s">
        <v>2638</v>
      </c>
      <c r="C949" s="74" t="s">
        <v>2639</v>
      </c>
      <c r="D949" s="74">
        <v>0</v>
      </c>
      <c r="E949" s="74">
        <v>0</v>
      </c>
      <c r="F949" s="74">
        <v>0</v>
      </c>
      <c r="G949" s="74">
        <v>4.02372</v>
      </c>
      <c r="H949" s="74">
        <v>0</v>
      </c>
      <c r="I949" s="74"/>
      <c r="J949" s="74">
        <v>0</v>
      </c>
      <c r="K949" s="74">
        <v>0</v>
      </c>
      <c r="L949" s="74">
        <v>0</v>
      </c>
      <c r="M949" s="74">
        <v>67.124639999999999</v>
      </c>
      <c r="N949" s="74">
        <v>0</v>
      </c>
    </row>
    <row r="950" spans="1:14" x14ac:dyDescent="0.25">
      <c r="A950" t="e">
        <f>VLOOKUP(VALUE(RIGHT(B950,4)),'Waste Lookups'!$B$1:$C$295,2,FALSE)</f>
        <v>#N/A</v>
      </c>
      <c r="B950" s="74" t="s">
        <v>2640</v>
      </c>
      <c r="C950" s="74" t="s">
        <v>2641</v>
      </c>
      <c r="D950" s="74">
        <v>1.9953939393939395</v>
      </c>
      <c r="E950" s="74">
        <v>0</v>
      </c>
      <c r="F950" s="74">
        <v>0</v>
      </c>
      <c r="G950" s="74">
        <v>0.70479000000000003</v>
      </c>
      <c r="H950" s="74">
        <v>0</v>
      </c>
      <c r="I950" s="74"/>
      <c r="J950" s="74">
        <v>10.304132442381444</v>
      </c>
      <c r="K950" s="74">
        <v>0</v>
      </c>
      <c r="L950" s="74">
        <v>0</v>
      </c>
      <c r="M950" s="74">
        <v>3.6395066461271188</v>
      </c>
      <c r="N950" s="74">
        <v>0</v>
      </c>
    </row>
    <row r="951" spans="1:14" x14ac:dyDescent="0.25">
      <c r="A951" t="e">
        <f>VLOOKUP(VALUE(RIGHT(B951,4)),'Waste Lookups'!$B$1:$C$295,2,FALSE)</f>
        <v>#N/A</v>
      </c>
      <c r="B951" s="74" t="s">
        <v>2642</v>
      </c>
      <c r="C951" s="74" t="s">
        <v>2643</v>
      </c>
      <c r="D951" s="74">
        <v>3.4929999999999999</v>
      </c>
      <c r="E951" s="74">
        <v>0</v>
      </c>
      <c r="F951" s="74">
        <v>0</v>
      </c>
      <c r="G951" s="74">
        <v>6.3229499999999996</v>
      </c>
      <c r="H951" s="74">
        <v>0</v>
      </c>
      <c r="I951" s="74"/>
      <c r="J951" s="74">
        <v>17.516757492292101</v>
      </c>
      <c r="K951" s="74">
        <v>0</v>
      </c>
      <c r="L951" s="74">
        <v>0</v>
      </c>
      <c r="M951" s="74">
        <v>31.708440247892455</v>
      </c>
      <c r="N951" s="74">
        <v>0</v>
      </c>
    </row>
    <row r="952" spans="1:14" x14ac:dyDescent="0.25">
      <c r="A952" t="str">
        <f>VLOOKUP(VALUE(RIGHT(B952,4)),'Waste Lookups'!$B$1:$C$295,2,FALSE)</f>
        <v>Crescent View</v>
      </c>
      <c r="B952" s="74" t="s">
        <v>783</v>
      </c>
      <c r="C952" s="74" t="s">
        <v>2644</v>
      </c>
      <c r="D952" s="74">
        <v>0.83475757575757581</v>
      </c>
      <c r="E952" s="74">
        <v>0</v>
      </c>
      <c r="F952" s="74">
        <v>0</v>
      </c>
      <c r="G952" s="74">
        <v>0</v>
      </c>
      <c r="H952" s="74">
        <v>0</v>
      </c>
      <c r="I952" s="74"/>
      <c r="J952" s="74">
        <v>0.74863888888888896</v>
      </c>
      <c r="K952" s="74">
        <v>0</v>
      </c>
      <c r="L952" s="74">
        <v>0</v>
      </c>
      <c r="M952" s="74">
        <v>0</v>
      </c>
      <c r="N952" s="74">
        <v>0</v>
      </c>
    </row>
    <row r="953" spans="1:14" x14ac:dyDescent="0.25">
      <c r="A953" t="e">
        <f>VLOOKUP(VALUE(RIGHT(B953,4)),'Waste Lookups'!$B$1:$C$295,2,FALSE)</f>
        <v>#N/A</v>
      </c>
      <c r="B953" s="74" t="s">
        <v>2645</v>
      </c>
      <c r="C953" s="74" t="s">
        <v>2646</v>
      </c>
      <c r="D953" s="74">
        <v>4.9279393939393943</v>
      </c>
      <c r="E953" s="74">
        <v>0</v>
      </c>
      <c r="F953" s="74">
        <v>4.9406545454545459</v>
      </c>
      <c r="G953" s="74">
        <v>3.7434600000000002</v>
      </c>
      <c r="H953" s="74">
        <v>0</v>
      </c>
      <c r="I953" s="74"/>
      <c r="J953" s="74">
        <v>0.10869134936109336</v>
      </c>
      <c r="K953" s="74">
        <v>0</v>
      </c>
      <c r="L953" s="74">
        <v>0.10897179659573515</v>
      </c>
      <c r="M953" s="74">
        <v>8.2566299248663724E-2</v>
      </c>
      <c r="N953" s="74">
        <v>0</v>
      </c>
    </row>
    <row r="954" spans="1:14" x14ac:dyDescent="0.25">
      <c r="A954" t="str">
        <f>VLOOKUP(VALUE(RIGHT(B954,4)),'Waste Lookups'!$B$1:$C$295,2,FALSE)</f>
        <v>Scarsdale</v>
      </c>
      <c r="B954" s="74" t="s">
        <v>665</v>
      </c>
      <c r="C954" s="74" t="s">
        <v>2647</v>
      </c>
      <c r="D954" s="74">
        <v>5.2753939393939406</v>
      </c>
      <c r="E954" s="74">
        <v>1.323</v>
      </c>
      <c r="F954" s="74">
        <v>0</v>
      </c>
      <c r="G954" s="74">
        <v>4.1139899999999994</v>
      </c>
      <c r="H954" s="74">
        <v>0</v>
      </c>
      <c r="I954" s="74"/>
      <c r="J954" s="74">
        <v>4.4938027961432327</v>
      </c>
      <c r="K954" s="74">
        <v>1.1269871345343581</v>
      </c>
      <c r="L954" s="74">
        <v>0</v>
      </c>
      <c r="M954" s="74">
        <v>3.5044699936530637</v>
      </c>
      <c r="N954" s="74">
        <v>0</v>
      </c>
    </row>
    <row r="955" spans="1:14" x14ac:dyDescent="0.25">
      <c r="A955" t="e">
        <f>VLOOKUP(VALUE(RIGHT(B955,4)),'Waste Lookups'!$B$1:$C$295,2,FALSE)</f>
        <v>#N/A</v>
      </c>
      <c r="B955" s="74" t="s">
        <v>2648</v>
      </c>
      <c r="C955" s="74" t="s">
        <v>2649</v>
      </c>
      <c r="D955" s="74">
        <v>0</v>
      </c>
      <c r="E955" s="74">
        <v>0.93840000000000001</v>
      </c>
      <c r="F955" s="74">
        <v>0</v>
      </c>
      <c r="G955" s="74">
        <v>0.31914000000000003</v>
      </c>
      <c r="H955" s="74">
        <v>0</v>
      </c>
      <c r="I955" s="74"/>
      <c r="J955" s="74">
        <v>0</v>
      </c>
      <c r="K955" s="74">
        <v>0</v>
      </c>
      <c r="L955" s="74">
        <v>0</v>
      </c>
      <c r="M955" s="74">
        <v>0</v>
      </c>
      <c r="N955" s="74">
        <v>0</v>
      </c>
    </row>
    <row r="956" spans="1:14" x14ac:dyDescent="0.25">
      <c r="A956" t="str">
        <f>VLOOKUP(VALUE(RIGHT(B956,4)),'Waste Lookups'!$B$1:$C$295,2,FALSE)</f>
        <v>Toll Bar House</v>
      </c>
      <c r="B956" s="74" t="s">
        <v>784</v>
      </c>
      <c r="C956" s="74" t="s">
        <v>2650</v>
      </c>
      <c r="D956" s="74">
        <v>1.8886969696969695</v>
      </c>
      <c r="E956" s="74">
        <v>0.37260000000000004</v>
      </c>
      <c r="F956" s="74">
        <v>0</v>
      </c>
      <c r="G956" s="74">
        <v>3.2948999999999997</v>
      </c>
      <c r="H956" s="74">
        <v>0</v>
      </c>
      <c r="I956" s="74"/>
      <c r="J956" s="74">
        <v>1.0695541952906145</v>
      </c>
      <c r="K956" s="74">
        <v>0.21100044081143546</v>
      </c>
      <c r="L956" s="74">
        <v>0</v>
      </c>
      <c r="M956" s="74">
        <v>1.8658758787697227</v>
      </c>
      <c r="N956" s="74">
        <v>0</v>
      </c>
    </row>
    <row r="957" spans="1:14" x14ac:dyDescent="0.25">
      <c r="A957" t="e">
        <f>VLOOKUP(VALUE(RIGHT(B957,4)),'Waste Lookups'!$B$1:$C$295,2,FALSE)</f>
        <v>#N/A</v>
      </c>
      <c r="B957" s="74" t="s">
        <v>2651</v>
      </c>
      <c r="C957" s="74" t="s">
        <v>2652</v>
      </c>
      <c r="D957" s="74">
        <v>2.3807272727272726</v>
      </c>
      <c r="E957" s="74">
        <v>0.441</v>
      </c>
      <c r="F957" s="74">
        <v>0.81829090909090918</v>
      </c>
      <c r="G957" s="74">
        <v>0</v>
      </c>
      <c r="H957" s="74">
        <v>0</v>
      </c>
      <c r="I957" s="74"/>
      <c r="J957" s="74">
        <v>0</v>
      </c>
      <c r="K957" s="74">
        <v>0</v>
      </c>
      <c r="L957" s="74">
        <v>0</v>
      </c>
      <c r="M957" s="74">
        <v>0</v>
      </c>
      <c r="N957" s="74">
        <v>0</v>
      </c>
    </row>
    <row r="958" spans="1:14" x14ac:dyDescent="0.25">
      <c r="A958" t="e">
        <f>VLOOKUP(VALUE(RIGHT(B958,4)),'Waste Lookups'!$B$1:$C$295,2,FALSE)</f>
        <v>#N/A</v>
      </c>
      <c r="B958" s="74" t="s">
        <v>2653</v>
      </c>
      <c r="C958" s="74" t="s">
        <v>2654</v>
      </c>
      <c r="D958" s="74">
        <v>2.3181818181818179</v>
      </c>
      <c r="E958" s="74">
        <v>0</v>
      </c>
      <c r="F958" s="74">
        <v>4.7976000000000001</v>
      </c>
      <c r="G958" s="74">
        <v>0</v>
      </c>
      <c r="H958" s="74">
        <v>0</v>
      </c>
      <c r="I958" s="74"/>
      <c r="J958" s="74">
        <v>2.5775164674705024</v>
      </c>
      <c r="K958" s="74">
        <v>0</v>
      </c>
      <c r="L958" s="74">
        <v>5.3343067861843645</v>
      </c>
      <c r="M958" s="74">
        <v>0</v>
      </c>
      <c r="N958" s="74">
        <v>0</v>
      </c>
    </row>
    <row r="959" spans="1:14" x14ac:dyDescent="0.25">
      <c r="A959" t="e">
        <f>VLOOKUP(VALUE(RIGHT(B959,4)),'Waste Lookups'!$B$1:$C$295,2,FALSE)</f>
        <v>#N/A</v>
      </c>
      <c r="B959" s="74" t="s">
        <v>2655</v>
      </c>
      <c r="C959" s="74" t="s">
        <v>2656</v>
      </c>
      <c r="D959" s="74">
        <v>0</v>
      </c>
      <c r="E959" s="74">
        <v>0</v>
      </c>
      <c r="F959" s="74">
        <v>0</v>
      </c>
      <c r="G959" s="74">
        <v>0</v>
      </c>
      <c r="H959" s="74">
        <v>0</v>
      </c>
      <c r="I959" s="74"/>
      <c r="J959" s="74">
        <v>0</v>
      </c>
      <c r="K959" s="74">
        <v>0</v>
      </c>
      <c r="L959" s="74">
        <v>0</v>
      </c>
      <c r="M959" s="74">
        <v>0</v>
      </c>
      <c r="N959" s="74">
        <v>0</v>
      </c>
    </row>
    <row r="960" spans="1:14" x14ac:dyDescent="0.25">
      <c r="A960" t="e">
        <f>VLOOKUP(VALUE(RIGHT(B960,4)),'Waste Lookups'!$B$1:$C$295,2,FALSE)</f>
        <v>#N/A</v>
      </c>
      <c r="B960" s="74" t="s">
        <v>2657</v>
      </c>
      <c r="C960" s="74" t="s">
        <v>2658</v>
      </c>
      <c r="D960" s="74">
        <v>0</v>
      </c>
      <c r="E960" s="74">
        <v>0</v>
      </c>
      <c r="F960" s="74">
        <v>16.533054545454547</v>
      </c>
      <c r="G960" s="74">
        <v>0</v>
      </c>
      <c r="H960" s="74">
        <v>0</v>
      </c>
      <c r="I960" s="74"/>
      <c r="J960" s="74">
        <v>0</v>
      </c>
      <c r="K960" s="74">
        <v>0</v>
      </c>
      <c r="L960" s="74">
        <v>9.4091166666666659</v>
      </c>
      <c r="M960" s="74">
        <v>0</v>
      </c>
      <c r="N960" s="74">
        <v>0</v>
      </c>
    </row>
    <row r="961" spans="1:14" x14ac:dyDescent="0.25">
      <c r="A961" t="e">
        <f>VLOOKUP(VALUE(RIGHT(B961,4)),'Waste Lookups'!$B$1:$C$295,2,FALSE)</f>
        <v>#N/A</v>
      </c>
      <c r="B961" s="74" t="s">
        <v>2659</v>
      </c>
      <c r="C961" s="74" t="s">
        <v>2660</v>
      </c>
      <c r="D961" s="74">
        <v>0.13884848484848483</v>
      </c>
      <c r="E961" s="74">
        <v>0</v>
      </c>
      <c r="F961" s="74">
        <v>0</v>
      </c>
      <c r="G961" s="74">
        <v>0.22121999999999997</v>
      </c>
      <c r="H961" s="74">
        <v>0</v>
      </c>
      <c r="I961" s="74"/>
      <c r="J961" s="74">
        <v>1.5908456676136364</v>
      </c>
      <c r="K961" s="74">
        <v>0</v>
      </c>
      <c r="L961" s="74">
        <v>0</v>
      </c>
      <c r="M961" s="74">
        <v>2.5346108671874998</v>
      </c>
      <c r="N961" s="74">
        <v>0</v>
      </c>
    </row>
    <row r="962" spans="1:14" x14ac:dyDescent="0.25">
      <c r="A962" t="e">
        <f>VLOOKUP(VALUE(RIGHT(B962,4)),'Waste Lookups'!$B$1:$C$295,2,FALSE)</f>
        <v>#N/A</v>
      </c>
      <c r="B962" s="74" t="s">
        <v>2661</v>
      </c>
      <c r="C962" s="74" t="s">
        <v>2662</v>
      </c>
      <c r="D962" s="74">
        <v>2.5925454545454545</v>
      </c>
      <c r="E962" s="74">
        <v>0</v>
      </c>
      <c r="F962" s="74">
        <v>0.69850909090909097</v>
      </c>
      <c r="G962" s="74">
        <v>2.0194200000000002</v>
      </c>
      <c r="H962" s="74">
        <v>0</v>
      </c>
      <c r="I962" s="74"/>
      <c r="J962" s="74">
        <v>2.0488932825626662</v>
      </c>
      <c r="K962" s="74">
        <v>0</v>
      </c>
      <c r="L962" s="74">
        <v>0.5520329765726385</v>
      </c>
      <c r="M962" s="74">
        <v>1.5959512167543202</v>
      </c>
      <c r="N962" s="74">
        <v>0</v>
      </c>
    </row>
    <row r="963" spans="1:14" x14ac:dyDescent="0.25">
      <c r="A963" t="str">
        <f>VLOOKUP(VALUE(RIGHT(B963,4)),'Waste Lookups'!$B$1:$C$295,2,FALSE)</f>
        <v>Birch House</v>
      </c>
      <c r="B963" s="74" t="s">
        <v>666</v>
      </c>
      <c r="C963" s="74" t="s">
        <v>2663</v>
      </c>
      <c r="D963" s="74">
        <v>0.62048484848484853</v>
      </c>
      <c r="E963" s="74">
        <v>0</v>
      </c>
      <c r="F963" s="74">
        <v>0</v>
      </c>
      <c r="G963" s="74">
        <v>1.26468</v>
      </c>
      <c r="H963" s="74">
        <v>32.093046736343915</v>
      </c>
      <c r="I963" s="74"/>
      <c r="J963" s="74">
        <v>0.94643887431132512</v>
      </c>
      <c r="K963" s="74">
        <v>0</v>
      </c>
      <c r="L963" s="74">
        <v>0</v>
      </c>
      <c r="M963" s="74">
        <v>1.9290435833958555</v>
      </c>
      <c r="N963" s="74">
        <v>48.952213902621637</v>
      </c>
    </row>
    <row r="964" spans="1:14" x14ac:dyDescent="0.25">
      <c r="A964" t="e">
        <f>VLOOKUP(VALUE(RIGHT(B964,4)),'Waste Lookups'!$B$1:$C$295,2,FALSE)</f>
        <v>#N/A</v>
      </c>
      <c r="B964" s="74" t="s">
        <v>2664</v>
      </c>
      <c r="C964" s="74" t="s">
        <v>2665</v>
      </c>
      <c r="D964" s="74">
        <v>0.12945454545454546</v>
      </c>
      <c r="E964" s="74">
        <v>0</v>
      </c>
      <c r="F964" s="74">
        <v>0</v>
      </c>
      <c r="G964" s="74">
        <v>0.24174000000000001</v>
      </c>
      <c r="H964" s="74">
        <v>0</v>
      </c>
      <c r="I964" s="74"/>
      <c r="J964" s="74">
        <v>1.8635680751173707</v>
      </c>
      <c r="K964" s="74">
        <v>0</v>
      </c>
      <c r="L964" s="74">
        <v>0</v>
      </c>
      <c r="M964" s="74">
        <v>3.4799778169014091</v>
      </c>
      <c r="N964" s="74">
        <v>0</v>
      </c>
    </row>
    <row r="965" spans="1:14" x14ac:dyDescent="0.25">
      <c r="A965" t="e">
        <f>VLOOKUP(VALUE(RIGHT(B965,4)),'Waste Lookups'!$B$1:$C$295,2,FALSE)</f>
        <v>#N/A</v>
      </c>
      <c r="B965" s="74" t="s">
        <v>2666</v>
      </c>
      <c r="C965" s="74" t="s">
        <v>2667</v>
      </c>
      <c r="D965" s="74">
        <v>0</v>
      </c>
      <c r="E965" s="74">
        <v>0</v>
      </c>
      <c r="F965" s="74">
        <v>0</v>
      </c>
      <c r="G965" s="74">
        <v>0.24911999999999998</v>
      </c>
      <c r="H965" s="74">
        <v>5.454274107671071</v>
      </c>
      <c r="I965" s="74"/>
      <c r="J965" s="74">
        <v>0</v>
      </c>
      <c r="K965" s="74">
        <v>0</v>
      </c>
      <c r="L965" s="74">
        <v>0</v>
      </c>
      <c r="M965" s="74">
        <v>0.40677325940242709</v>
      </c>
      <c r="N965" s="74">
        <v>8.9059604064371616</v>
      </c>
    </row>
    <row r="966" spans="1:14" x14ac:dyDescent="0.25">
      <c r="A966" t="e">
        <f>VLOOKUP(VALUE(RIGHT(B966,4)),'Waste Lookups'!$B$1:$C$295,2,FALSE)</f>
        <v>#N/A</v>
      </c>
      <c r="B966" s="74" t="s">
        <v>2668</v>
      </c>
      <c r="C966" s="74" t="s">
        <v>2669</v>
      </c>
      <c r="D966" s="74">
        <v>0.67375757575757578</v>
      </c>
      <c r="E966" s="74">
        <v>0</v>
      </c>
      <c r="F966" s="74">
        <v>3.3960909090909088</v>
      </c>
      <c r="G966" s="74">
        <v>1.2104999999999999</v>
      </c>
      <c r="H966" s="74">
        <v>0</v>
      </c>
      <c r="I966" s="74"/>
      <c r="J966" s="74">
        <v>0.24836701043491208</v>
      </c>
      <c r="K966" s="74">
        <v>0</v>
      </c>
      <c r="L966" s="74">
        <v>1.2518997583183875</v>
      </c>
      <c r="M966" s="74">
        <v>0.44622617533229353</v>
      </c>
      <c r="N966" s="74">
        <v>0</v>
      </c>
    </row>
    <row r="967" spans="1:14" x14ac:dyDescent="0.25">
      <c r="A967" t="e">
        <f>VLOOKUP(VALUE(RIGHT(B967,4)),'Waste Lookups'!$B$1:$C$295,2,FALSE)</f>
        <v>#N/A</v>
      </c>
      <c r="B967" s="74" t="s">
        <v>2670</v>
      </c>
      <c r="C967" s="74" t="s">
        <v>2671</v>
      </c>
      <c r="D967" s="74">
        <v>0</v>
      </c>
      <c r="E967" s="74">
        <v>1.1509199999999999</v>
      </c>
      <c r="F967" s="74">
        <v>0</v>
      </c>
      <c r="G967" s="74">
        <v>0</v>
      </c>
      <c r="H967" s="74">
        <v>0</v>
      </c>
      <c r="I967" s="74"/>
      <c r="J967" s="74">
        <v>0</v>
      </c>
      <c r="K967" s="74">
        <v>0</v>
      </c>
      <c r="L967" s="74">
        <v>0</v>
      </c>
      <c r="M967" s="74">
        <v>0</v>
      </c>
      <c r="N967" s="74">
        <v>0</v>
      </c>
    </row>
    <row r="968" spans="1:14" x14ac:dyDescent="0.25">
      <c r="A968" t="e">
        <f>VLOOKUP(VALUE(RIGHT(B968,4)),'Waste Lookups'!$B$1:$C$295,2,FALSE)</f>
        <v>#N/A</v>
      </c>
      <c r="B968" s="74" t="s">
        <v>2672</v>
      </c>
      <c r="C968" s="74" t="s">
        <v>2673</v>
      </c>
      <c r="D968" s="74">
        <v>1.2020303030303032</v>
      </c>
      <c r="E968" s="74">
        <v>0</v>
      </c>
      <c r="F968" s="74">
        <v>6.3990909090909094</v>
      </c>
      <c r="G968" s="74">
        <v>1.1879999999999999</v>
      </c>
      <c r="H968" s="74">
        <v>0</v>
      </c>
      <c r="I968" s="74"/>
      <c r="J968" s="74">
        <v>0.2011737518983201</v>
      </c>
      <c r="K968" s="74">
        <v>0</v>
      </c>
      <c r="L968" s="74">
        <v>1.0709622907799492</v>
      </c>
      <c r="M968" s="74">
        <v>0.19882561750124128</v>
      </c>
      <c r="N968" s="74">
        <v>0</v>
      </c>
    </row>
    <row r="969" spans="1:14" x14ac:dyDescent="0.25">
      <c r="A969" t="e">
        <f>VLOOKUP(VALUE(RIGHT(B969,4)),'Waste Lookups'!$B$1:$C$295,2,FALSE)</f>
        <v>#N/A</v>
      </c>
      <c r="B969" s="74" t="s">
        <v>2674</v>
      </c>
      <c r="C969" s="74" t="s">
        <v>2675</v>
      </c>
      <c r="D969" s="74">
        <v>1.4410000000000001</v>
      </c>
      <c r="E969" s="74">
        <v>0</v>
      </c>
      <c r="F969" s="74">
        <v>2.2097454545454545</v>
      </c>
      <c r="G969" s="74">
        <v>2.3905799999999999</v>
      </c>
      <c r="H969" s="74">
        <v>0</v>
      </c>
      <c r="I969" s="74"/>
      <c r="J969" s="74">
        <v>2.0392580624002266</v>
      </c>
      <c r="K969" s="74">
        <v>0</v>
      </c>
      <c r="L969" s="74">
        <v>3.1271625496419651</v>
      </c>
      <c r="M969" s="74">
        <v>3.3830739339436042</v>
      </c>
      <c r="N969" s="74">
        <v>0</v>
      </c>
    </row>
    <row r="970" spans="1:14" x14ac:dyDescent="0.25">
      <c r="A970" t="e">
        <f>VLOOKUP(VALUE(RIGHT(B970,4)),'Waste Lookups'!$B$1:$C$295,2,FALSE)</f>
        <v>#N/A</v>
      </c>
      <c r="B970" s="74" t="s">
        <v>2676</v>
      </c>
      <c r="C970" s="74" t="s">
        <v>2677</v>
      </c>
      <c r="D970" s="74">
        <v>1.2056060606060608</v>
      </c>
      <c r="E970" s="74">
        <v>0</v>
      </c>
      <c r="F970" s="74">
        <v>3.1983272727272727</v>
      </c>
      <c r="G970" s="74">
        <v>1.1917799999999998</v>
      </c>
      <c r="H970" s="74">
        <v>0</v>
      </c>
      <c r="I970" s="74"/>
      <c r="J970" s="74">
        <v>1.4935389581710483</v>
      </c>
      <c r="K970" s="74">
        <v>0</v>
      </c>
      <c r="L970" s="74">
        <v>3.9621784751130233</v>
      </c>
      <c r="M970" s="74">
        <v>1.4764108424225215</v>
      </c>
      <c r="N970" s="74">
        <v>0</v>
      </c>
    </row>
    <row r="971" spans="1:14" x14ac:dyDescent="0.25">
      <c r="A971" t="e">
        <f>VLOOKUP(VALUE(RIGHT(B971,4)),'Waste Lookups'!$B$1:$C$295,2,FALSE)</f>
        <v>#N/A</v>
      </c>
      <c r="B971" s="74" t="s">
        <v>2678</v>
      </c>
      <c r="C971" s="74" t="s">
        <v>2679</v>
      </c>
      <c r="D971" s="74">
        <v>0.47342424242424236</v>
      </c>
      <c r="E971" s="74">
        <v>0</v>
      </c>
      <c r="F971" s="74">
        <v>4.5306181818181823</v>
      </c>
      <c r="G971" s="74">
        <v>0.93923999999999985</v>
      </c>
      <c r="H971" s="74">
        <v>0</v>
      </c>
      <c r="I971" s="74"/>
      <c r="J971" s="74">
        <v>0.36110560526920249</v>
      </c>
      <c r="K971" s="74">
        <v>0</v>
      </c>
      <c r="L971" s="74">
        <v>3.4557411179696973</v>
      </c>
      <c r="M971" s="74">
        <v>0.71640781840046797</v>
      </c>
      <c r="N971" s="74">
        <v>0</v>
      </c>
    </row>
    <row r="972" spans="1:14" x14ac:dyDescent="0.25">
      <c r="A972" t="str">
        <f>VLOOKUP(VALUE(RIGHT(B972,4)),'Waste Lookups'!$B$1:$C$295,2,FALSE)</f>
        <v>Easthorpe House</v>
      </c>
      <c r="B972" s="74" t="s">
        <v>787</v>
      </c>
      <c r="C972" s="74" t="s">
        <v>2680</v>
      </c>
      <c r="D972" s="74">
        <v>1.0256969696969698</v>
      </c>
      <c r="E972" s="74">
        <v>0</v>
      </c>
      <c r="F972" s="74">
        <v>4.1763636363636357E-2</v>
      </c>
      <c r="G972" s="74">
        <v>0.28250999999999998</v>
      </c>
      <c r="H972" s="74">
        <v>10.071386314336424</v>
      </c>
      <c r="I972" s="74"/>
      <c r="J972" s="74">
        <v>1.1898339785064243</v>
      </c>
      <c r="K972" s="74">
        <v>0</v>
      </c>
      <c r="L972" s="74">
        <v>4.8446856215361427E-2</v>
      </c>
      <c r="M972" s="74">
        <v>0.32771862177496586</v>
      </c>
      <c r="N972" s="74">
        <v>11.683058448541951</v>
      </c>
    </row>
    <row r="973" spans="1:14" x14ac:dyDescent="0.25">
      <c r="A973" t="e">
        <f>VLOOKUP(VALUE(RIGHT(B973,4)),'Waste Lookups'!$B$1:$C$295,2,FALSE)</f>
        <v>#N/A</v>
      </c>
      <c r="B973" s="74" t="s">
        <v>2681</v>
      </c>
      <c r="C973" s="74" t="s">
        <v>2682</v>
      </c>
      <c r="D973" s="74">
        <v>0.5978181818181818</v>
      </c>
      <c r="E973" s="74">
        <v>0</v>
      </c>
      <c r="F973" s="74">
        <v>2.1755999999999998</v>
      </c>
      <c r="G973" s="74">
        <v>1.2734100000000002</v>
      </c>
      <c r="H973" s="74">
        <v>0</v>
      </c>
      <c r="I973" s="74"/>
      <c r="J973" s="74">
        <v>0.86863719673038697</v>
      </c>
      <c r="K973" s="74">
        <v>0</v>
      </c>
      <c r="L973" s="74">
        <v>3.1611736522616991</v>
      </c>
      <c r="M973" s="74">
        <v>1.8502804470153384</v>
      </c>
      <c r="N973" s="74">
        <v>0</v>
      </c>
    </row>
    <row r="974" spans="1:14" x14ac:dyDescent="0.25">
      <c r="A974" t="e">
        <f>VLOOKUP(VALUE(RIGHT(B974,4)),'Waste Lookups'!$B$1:$C$295,2,FALSE)</f>
        <v>#N/A</v>
      </c>
      <c r="B974" s="74" t="s">
        <v>2683</v>
      </c>
      <c r="C974" s="74" t="s">
        <v>2684</v>
      </c>
      <c r="D974" s="74">
        <v>0.6722424242424242</v>
      </c>
      <c r="E974" s="74">
        <v>0</v>
      </c>
      <c r="F974" s="74">
        <v>2.7805090909090913</v>
      </c>
      <c r="G974" s="74">
        <v>1.2196800000000001</v>
      </c>
      <c r="H974" s="74">
        <v>0</v>
      </c>
      <c r="I974" s="74"/>
      <c r="J974" s="74">
        <v>0.8531194657639446</v>
      </c>
      <c r="K974" s="74">
        <v>0</v>
      </c>
      <c r="L974" s="74">
        <v>3.5286473222236352</v>
      </c>
      <c r="M974" s="74">
        <v>1.5478534416740868</v>
      </c>
      <c r="N974" s="74">
        <v>0</v>
      </c>
    </row>
    <row r="975" spans="1:14" x14ac:dyDescent="0.25">
      <c r="A975" t="str">
        <f>VLOOKUP(VALUE(RIGHT(B975,4)),'Waste Lookups'!$B$1:$C$295,2,FALSE)</f>
        <v>Hawthorn House</v>
      </c>
      <c r="B975" s="74" t="s">
        <v>782</v>
      </c>
      <c r="C975" s="74" t="s">
        <v>2685</v>
      </c>
      <c r="D975" s="74">
        <v>0.22560606060606062</v>
      </c>
      <c r="E975" s="74">
        <v>0</v>
      </c>
      <c r="F975" s="74">
        <v>0</v>
      </c>
      <c r="G975" s="74">
        <v>0</v>
      </c>
      <c r="H975" s="74">
        <v>14.8833003352396</v>
      </c>
      <c r="I975" s="74"/>
      <c r="J975" s="74">
        <v>0.23307278382892749</v>
      </c>
      <c r="K975" s="74">
        <v>0</v>
      </c>
      <c r="L975" s="74">
        <v>0</v>
      </c>
      <c r="M975" s="74">
        <v>0</v>
      </c>
      <c r="N975" s="74">
        <v>15.375882333912426</v>
      </c>
    </row>
    <row r="976" spans="1:14" x14ac:dyDescent="0.25">
      <c r="A976" t="e">
        <f>VLOOKUP(VALUE(RIGHT(B976,4)),'Waste Lookups'!$B$1:$C$295,2,FALSE)</f>
        <v>#N/A</v>
      </c>
      <c r="B976" s="74" t="s">
        <v>2686</v>
      </c>
      <c r="C976" s="74" t="s">
        <v>2687</v>
      </c>
      <c r="D976" s="74">
        <v>2.1259393939393938</v>
      </c>
      <c r="E976" s="74">
        <v>0</v>
      </c>
      <c r="F976" s="74">
        <v>6.8756727272727263</v>
      </c>
      <c r="G976" s="74">
        <v>3.3693299999999993</v>
      </c>
      <c r="H976" s="74">
        <v>0</v>
      </c>
      <c r="I976" s="74"/>
      <c r="J976" s="74">
        <v>1.9836086877358157</v>
      </c>
      <c r="K976" s="74">
        <v>0</v>
      </c>
      <c r="L976" s="74">
        <v>6.4153494660888724</v>
      </c>
      <c r="M976" s="74">
        <v>3.143754840284712</v>
      </c>
      <c r="N976" s="74">
        <v>0</v>
      </c>
    </row>
    <row r="977" spans="1:14" x14ac:dyDescent="0.25">
      <c r="A977" t="e">
        <f>VLOOKUP(VALUE(RIGHT(B977,4)),'Waste Lookups'!$B$1:$C$295,2,FALSE)</f>
        <v>#N/A</v>
      </c>
      <c r="B977" s="74" t="s">
        <v>2688</v>
      </c>
      <c r="C977" s="74" t="s">
        <v>2689</v>
      </c>
      <c r="D977" s="74">
        <v>0.73472727272727278</v>
      </c>
      <c r="E977" s="74">
        <v>0</v>
      </c>
      <c r="F977" s="74">
        <v>0</v>
      </c>
      <c r="G977" s="74">
        <v>1.2066299999999999</v>
      </c>
      <c r="H977" s="74">
        <v>0</v>
      </c>
      <c r="I977" s="74"/>
      <c r="J977" s="74">
        <v>1.7003580989562586</v>
      </c>
      <c r="K977" s="74">
        <v>0</v>
      </c>
      <c r="L977" s="74">
        <v>0</v>
      </c>
      <c r="M977" s="74">
        <v>2.7924689460999121</v>
      </c>
      <c r="N977" s="74">
        <v>0</v>
      </c>
    </row>
    <row r="978" spans="1:14" x14ac:dyDescent="0.25">
      <c r="A978" t="e">
        <f>VLOOKUP(VALUE(RIGHT(B978,4)),'Waste Lookups'!$B$1:$C$295,2,FALSE)</f>
        <v>#N/A</v>
      </c>
      <c r="B978" s="74" t="s">
        <v>2690</v>
      </c>
      <c r="C978" s="74" t="s">
        <v>2691</v>
      </c>
      <c r="D978" s="74">
        <v>0</v>
      </c>
      <c r="E978" s="74">
        <v>0</v>
      </c>
      <c r="F978" s="74">
        <v>0.13654545454545453</v>
      </c>
      <c r="G978" s="74">
        <v>0.23157</v>
      </c>
      <c r="H978" s="74">
        <v>0</v>
      </c>
      <c r="I978" s="74"/>
      <c r="J978" s="74">
        <v>0</v>
      </c>
      <c r="K978" s="74">
        <v>0</v>
      </c>
      <c r="L978" s="74">
        <v>1.4964386921881714</v>
      </c>
      <c r="M978" s="74">
        <v>2.5378384736685513</v>
      </c>
      <c r="N978" s="74">
        <v>0</v>
      </c>
    </row>
    <row r="979" spans="1:14" x14ac:dyDescent="0.25">
      <c r="A979" t="e">
        <f>VLOOKUP(VALUE(RIGHT(B979,4)),'Waste Lookups'!$B$1:$C$295,2,FALSE)</f>
        <v>#N/A</v>
      </c>
      <c r="B979" s="74" t="s">
        <v>2692</v>
      </c>
      <c r="C979" s="74" t="s">
        <v>2693</v>
      </c>
      <c r="D979" s="74">
        <v>0.39536363636363642</v>
      </c>
      <c r="E979" s="74">
        <v>0</v>
      </c>
      <c r="F979" s="74">
        <v>1.1910545454545454</v>
      </c>
      <c r="G979" s="74">
        <v>1.0419299999999998</v>
      </c>
      <c r="H979" s="74">
        <v>0</v>
      </c>
      <c r="I979" s="74"/>
      <c r="J979" s="74">
        <v>0.56337592826816962</v>
      </c>
      <c r="K979" s="74">
        <v>0</v>
      </c>
      <c r="L979" s="74">
        <v>1.6972007500110946</v>
      </c>
      <c r="M979" s="74">
        <v>1.4847047804886162</v>
      </c>
      <c r="N979" s="74">
        <v>0</v>
      </c>
    </row>
    <row r="980" spans="1:14" x14ac:dyDescent="0.25">
      <c r="A980" t="e">
        <f>VLOOKUP(VALUE(RIGHT(B980,4)),'Waste Lookups'!$B$1:$C$295,2,FALSE)</f>
        <v>#N/A</v>
      </c>
      <c r="B980" s="74" t="s">
        <v>2694</v>
      </c>
      <c r="C980" s="74" t="s">
        <v>2695</v>
      </c>
      <c r="D980" s="74">
        <v>8.6955151515151528</v>
      </c>
      <c r="E980" s="74">
        <v>0</v>
      </c>
      <c r="F980" s="74">
        <v>33.677636363636367</v>
      </c>
      <c r="G980" s="74">
        <v>21.789180000000002</v>
      </c>
      <c r="H980" s="74">
        <v>0</v>
      </c>
      <c r="I980" s="74"/>
      <c r="J980" s="74">
        <v>10.421685743262525</v>
      </c>
      <c r="K980" s="74">
        <v>0</v>
      </c>
      <c r="L980" s="74">
        <v>40.363076441369031</v>
      </c>
      <c r="M980" s="74">
        <v>26.114609957733592</v>
      </c>
      <c r="N980" s="74">
        <v>0</v>
      </c>
    </row>
    <row r="981" spans="1:14" x14ac:dyDescent="0.25">
      <c r="A981" t="e">
        <f>VLOOKUP(VALUE(RIGHT(B981,4)),'Waste Lookups'!$B$1:$C$295,2,FALSE)</f>
        <v>#N/A</v>
      </c>
      <c r="B981" s="74" t="s">
        <v>2696</v>
      </c>
      <c r="C981" s="74" t="s">
        <v>2697</v>
      </c>
      <c r="D981" s="74">
        <v>1.888969696969697</v>
      </c>
      <c r="E981" s="74">
        <v>0</v>
      </c>
      <c r="F981" s="74">
        <v>2.7866181818181821</v>
      </c>
      <c r="G981" s="74">
        <v>2.13327</v>
      </c>
      <c r="H981" s="74">
        <v>0</v>
      </c>
      <c r="I981" s="74"/>
      <c r="J981" s="74">
        <v>2.7951717483227911</v>
      </c>
      <c r="K981" s="74">
        <v>0</v>
      </c>
      <c r="L981" s="74">
        <v>4.1234522860139657</v>
      </c>
      <c r="M981" s="74">
        <v>3.1566710917121807</v>
      </c>
      <c r="N981" s="74">
        <v>0</v>
      </c>
    </row>
    <row r="982" spans="1:14" x14ac:dyDescent="0.25">
      <c r="A982" t="e">
        <f>VLOOKUP(VALUE(RIGHT(B982,4)),'Waste Lookups'!$B$1:$C$295,2,FALSE)</f>
        <v>#N/A</v>
      </c>
      <c r="B982" s="74" t="s">
        <v>2698</v>
      </c>
      <c r="C982" s="74" t="s">
        <v>2699</v>
      </c>
      <c r="D982" s="74">
        <v>0.51048484848484854</v>
      </c>
      <c r="E982" s="74">
        <v>0</v>
      </c>
      <c r="F982" s="74">
        <v>9.2425454545454535</v>
      </c>
      <c r="G982" s="74">
        <v>9.3976200000000016</v>
      </c>
      <c r="H982" s="74">
        <v>0</v>
      </c>
      <c r="I982" s="74"/>
      <c r="J982" s="74">
        <v>0.60285815440252055</v>
      </c>
      <c r="K982" s="74">
        <v>0</v>
      </c>
      <c r="L982" s="74">
        <v>10.915003474141418</v>
      </c>
      <c r="M982" s="74">
        <v>11.098139084424497</v>
      </c>
      <c r="N982" s="74">
        <v>0</v>
      </c>
    </row>
    <row r="983" spans="1:14" x14ac:dyDescent="0.25">
      <c r="A983" t="e">
        <f>VLOOKUP(VALUE(RIGHT(B983,4)),'Waste Lookups'!$B$1:$C$295,2,FALSE)</f>
        <v>#N/A</v>
      </c>
      <c r="B983" s="74" t="s">
        <v>2700</v>
      </c>
      <c r="C983" s="74" t="s">
        <v>2701</v>
      </c>
      <c r="D983" s="74">
        <v>0.67427272727272725</v>
      </c>
      <c r="E983" s="74">
        <v>0</v>
      </c>
      <c r="F983" s="74">
        <v>3.2130545454545461</v>
      </c>
      <c r="G983" s="74">
        <v>1.5110999999999999</v>
      </c>
      <c r="H983" s="74">
        <v>0</v>
      </c>
      <c r="I983" s="74"/>
      <c r="J983" s="74">
        <v>0.66615574939322741</v>
      </c>
      <c r="K983" s="74">
        <v>0</v>
      </c>
      <c r="L983" s="74">
        <v>3.1743754003309252</v>
      </c>
      <c r="M983" s="74">
        <v>1.4929091926640374</v>
      </c>
      <c r="N983" s="74">
        <v>0</v>
      </c>
    </row>
    <row r="984" spans="1:14" x14ac:dyDescent="0.25">
      <c r="A984" t="e">
        <f>VLOOKUP(VALUE(RIGHT(B984,4)),'Waste Lookups'!$B$1:$C$295,2,FALSE)</f>
        <v>#N/A</v>
      </c>
      <c r="B984" s="74" t="s">
        <v>2702</v>
      </c>
      <c r="C984" s="74" t="s">
        <v>2703</v>
      </c>
      <c r="D984" s="74">
        <v>0.44642424242424245</v>
      </c>
      <c r="E984" s="74">
        <v>0</v>
      </c>
      <c r="F984" s="74">
        <v>0</v>
      </c>
      <c r="G984" s="74">
        <v>1.0275300000000001</v>
      </c>
      <c r="H984" s="74">
        <v>0</v>
      </c>
      <c r="I984" s="74"/>
      <c r="J984" s="74">
        <v>1.0822033389847074</v>
      </c>
      <c r="K984" s="74">
        <v>0</v>
      </c>
      <c r="L984" s="74">
        <v>0</v>
      </c>
      <c r="M984" s="74">
        <v>2.4908960832154192</v>
      </c>
      <c r="N984" s="74">
        <v>0</v>
      </c>
    </row>
    <row r="985" spans="1:14" x14ac:dyDescent="0.25">
      <c r="A985" t="e">
        <f>VLOOKUP(VALUE(RIGHT(B985,4)),'Waste Lookups'!$B$1:$C$295,2,FALSE)</f>
        <v>#N/A</v>
      </c>
      <c r="B985" s="74" t="s">
        <v>2704</v>
      </c>
      <c r="C985" s="74" t="s">
        <v>2705</v>
      </c>
      <c r="D985" s="74">
        <v>0.65069696969696977</v>
      </c>
      <c r="E985" s="74">
        <v>0</v>
      </c>
      <c r="F985" s="74">
        <v>0</v>
      </c>
      <c r="G985" s="74">
        <v>0.34523999999999994</v>
      </c>
      <c r="H985" s="74">
        <v>0</v>
      </c>
      <c r="I985" s="74"/>
      <c r="J985" s="74">
        <v>7.4831822671776829</v>
      </c>
      <c r="K985" s="74">
        <v>0</v>
      </c>
      <c r="L985" s="74">
        <v>0</v>
      </c>
      <c r="M985" s="74">
        <v>3.9703486664822778</v>
      </c>
      <c r="N985" s="74">
        <v>0</v>
      </c>
    </row>
    <row r="986" spans="1:14" x14ac:dyDescent="0.25">
      <c r="A986" t="e">
        <f>VLOOKUP(VALUE(RIGHT(B986,4)),'Waste Lookups'!$B$1:$C$295,2,FALSE)</f>
        <v>#N/A</v>
      </c>
      <c r="B986" s="74" t="s">
        <v>2706</v>
      </c>
      <c r="C986" s="74" t="s">
        <v>2707</v>
      </c>
      <c r="D986" s="74">
        <v>2.0723030303030305</v>
      </c>
      <c r="E986" s="74">
        <v>0</v>
      </c>
      <c r="F986" s="74">
        <v>3.7639454545454551</v>
      </c>
      <c r="G986" s="74">
        <v>2.2088700000000001</v>
      </c>
      <c r="H986" s="74">
        <v>0</v>
      </c>
      <c r="I986" s="74"/>
      <c r="J986" s="74">
        <v>4.2065848337886012</v>
      </c>
      <c r="K986" s="74">
        <v>0</v>
      </c>
      <c r="L986" s="74">
        <v>7.6404635966696244</v>
      </c>
      <c r="M986" s="74">
        <v>4.4838032401332235</v>
      </c>
      <c r="N986" s="74">
        <v>0</v>
      </c>
    </row>
    <row r="987" spans="1:14" x14ac:dyDescent="0.25">
      <c r="A987" t="e">
        <f>VLOOKUP(VALUE(RIGHT(B987,4)),'Waste Lookups'!$B$1:$C$295,2,FALSE)</f>
        <v>#N/A</v>
      </c>
      <c r="B987" s="74" t="s">
        <v>2708</v>
      </c>
      <c r="C987" s="74" t="s">
        <v>2709</v>
      </c>
      <c r="D987" s="74">
        <v>0.13363636363636366</v>
      </c>
      <c r="E987" s="74">
        <v>0</v>
      </c>
      <c r="F987" s="74">
        <v>0</v>
      </c>
      <c r="G987" s="74">
        <v>0.46556999999999987</v>
      </c>
      <c r="H987" s="74">
        <v>0</v>
      </c>
      <c r="I987" s="74"/>
      <c r="J987" s="74">
        <v>3.6272936449963482</v>
      </c>
      <c r="K987" s="74">
        <v>0</v>
      </c>
      <c r="L987" s="74">
        <v>0</v>
      </c>
      <c r="M987" s="74">
        <v>12.636972874360845</v>
      </c>
      <c r="N987" s="74">
        <v>0</v>
      </c>
    </row>
    <row r="988" spans="1:14" x14ac:dyDescent="0.25">
      <c r="A988" t="e">
        <f>VLOOKUP(VALUE(RIGHT(B988,4)),'Waste Lookups'!$B$1:$C$295,2,FALSE)</f>
        <v>#N/A</v>
      </c>
      <c r="B988" s="74" t="s">
        <v>2710</v>
      </c>
      <c r="C988" s="74" t="s">
        <v>2711</v>
      </c>
      <c r="D988" s="74">
        <v>0.59451515151515155</v>
      </c>
      <c r="E988" s="74">
        <v>0</v>
      </c>
      <c r="F988" s="74">
        <v>0.80181818181818187</v>
      </c>
      <c r="G988" s="74">
        <v>1.1202300000000001</v>
      </c>
      <c r="H988" s="74">
        <v>0</v>
      </c>
      <c r="I988" s="74"/>
      <c r="J988" s="74">
        <v>0.86110419310745245</v>
      </c>
      <c r="K988" s="74">
        <v>0</v>
      </c>
      <c r="L988" s="74">
        <v>1.1613648478323662</v>
      </c>
      <c r="M988" s="74">
        <v>1.6225570497006536</v>
      </c>
      <c r="N988" s="74">
        <v>0</v>
      </c>
    </row>
    <row r="989" spans="1:14" x14ac:dyDescent="0.25">
      <c r="A989" t="e">
        <f>VLOOKUP(VALUE(RIGHT(B989,4)),'Waste Lookups'!$B$1:$C$295,2,FALSE)</f>
        <v>#N/A</v>
      </c>
      <c r="B989" s="74" t="s">
        <v>2712</v>
      </c>
      <c r="C989" s="74" t="s">
        <v>2713</v>
      </c>
      <c r="D989" s="74">
        <v>0.77584848484848479</v>
      </c>
      <c r="E989" s="74">
        <v>0</v>
      </c>
      <c r="F989" s="74">
        <v>0</v>
      </c>
      <c r="G989" s="74">
        <v>3.5129699999999997</v>
      </c>
      <c r="H989" s="74">
        <v>0</v>
      </c>
      <c r="I989" s="74"/>
      <c r="J989" s="74">
        <v>5.825784567509678</v>
      </c>
      <c r="K989" s="74">
        <v>0</v>
      </c>
      <c r="L989" s="74">
        <v>0</v>
      </c>
      <c r="M989" s="74">
        <v>26.378612334496253</v>
      </c>
      <c r="N989" s="74">
        <v>0</v>
      </c>
    </row>
    <row r="990" spans="1:14" x14ac:dyDescent="0.25">
      <c r="A990" t="e">
        <f>VLOOKUP(VALUE(RIGHT(B990,4)),'Waste Lookups'!$B$1:$C$295,2,FALSE)</f>
        <v>#N/A</v>
      </c>
      <c r="B990" s="74" t="s">
        <v>2714</v>
      </c>
      <c r="C990" s="74" t="s">
        <v>2715</v>
      </c>
      <c r="D990" s="74">
        <v>9.5696969696969683E-2</v>
      </c>
      <c r="E990" s="74">
        <v>0</v>
      </c>
      <c r="F990" s="74">
        <v>0</v>
      </c>
      <c r="G990" s="74">
        <v>0.42156000000000005</v>
      </c>
      <c r="H990" s="74">
        <v>0</v>
      </c>
      <c r="I990" s="74"/>
      <c r="J990" s="74">
        <v>1.4266998143897529</v>
      </c>
      <c r="K990" s="74">
        <v>0</v>
      </c>
      <c r="L990" s="74">
        <v>0</v>
      </c>
      <c r="M990" s="74">
        <v>6.2848340512624326</v>
      </c>
      <c r="N990" s="74">
        <v>0</v>
      </c>
    </row>
    <row r="991" spans="1:14" x14ac:dyDescent="0.25">
      <c r="A991" t="e">
        <f>VLOOKUP(VALUE(RIGHT(B991,4)),'Waste Lookups'!$B$1:$C$295,2,FALSE)</f>
        <v>#N/A</v>
      </c>
      <c r="B991" s="74" t="s">
        <v>2716</v>
      </c>
      <c r="C991" s="74" t="s">
        <v>2717</v>
      </c>
      <c r="D991" s="74">
        <v>2.1290606060606065</v>
      </c>
      <c r="E991" s="74">
        <v>0</v>
      </c>
      <c r="F991" s="74">
        <v>3.3052363636363644</v>
      </c>
      <c r="G991" s="74">
        <v>1.5677999999999999</v>
      </c>
      <c r="H991" s="74">
        <v>0</v>
      </c>
      <c r="I991" s="74"/>
      <c r="J991" s="74">
        <v>2.5226591372969605</v>
      </c>
      <c r="K991" s="74">
        <v>0</v>
      </c>
      <c r="L991" s="74">
        <v>3.9162740083201282</v>
      </c>
      <c r="M991" s="74">
        <v>1.857638521043393</v>
      </c>
      <c r="N991" s="74">
        <v>0</v>
      </c>
    </row>
    <row r="992" spans="1:14" x14ac:dyDescent="0.25">
      <c r="A992" t="e">
        <f>VLOOKUP(VALUE(RIGHT(B992,4)),'Waste Lookups'!$B$1:$C$295,2,FALSE)</f>
        <v>#N/A</v>
      </c>
      <c r="B992" s="74" t="s">
        <v>2718</v>
      </c>
      <c r="C992" s="74" t="s">
        <v>2719</v>
      </c>
      <c r="D992" s="74">
        <v>2.7990303030303032</v>
      </c>
      <c r="E992" s="74">
        <v>0</v>
      </c>
      <c r="F992" s="74">
        <v>0.12718181818181817</v>
      </c>
      <c r="G992" s="74">
        <v>0</v>
      </c>
      <c r="H992" s="74">
        <v>0</v>
      </c>
      <c r="I992" s="74"/>
      <c r="J992" s="74">
        <v>1.0239302982218956</v>
      </c>
      <c r="K992" s="74">
        <v>0</v>
      </c>
      <c r="L992" s="74">
        <v>4.6525154400195917E-2</v>
      </c>
      <c r="M992" s="74">
        <v>0</v>
      </c>
      <c r="N992" s="74">
        <v>0</v>
      </c>
    </row>
    <row r="993" spans="1:14" x14ac:dyDescent="0.25">
      <c r="A993" t="e">
        <f>VLOOKUP(VALUE(RIGHT(B993,4)),'Waste Lookups'!$B$1:$C$295,2,FALSE)</f>
        <v>#N/A</v>
      </c>
      <c r="B993" s="74" t="s">
        <v>2720</v>
      </c>
      <c r="C993" s="74" t="s">
        <v>2721</v>
      </c>
      <c r="D993" s="74">
        <v>0.68457575757575762</v>
      </c>
      <c r="E993" s="74">
        <v>0</v>
      </c>
      <c r="F993" s="74">
        <v>0</v>
      </c>
      <c r="G993" s="74">
        <v>1.1353499999999999</v>
      </c>
      <c r="H993" s="74">
        <v>0</v>
      </c>
      <c r="I993" s="74"/>
      <c r="J993" s="74">
        <v>1.5876064204649463</v>
      </c>
      <c r="K993" s="74">
        <v>0</v>
      </c>
      <c r="L993" s="74">
        <v>0</v>
      </c>
      <c r="M993" s="74">
        <v>2.6330014312191108</v>
      </c>
      <c r="N993" s="74">
        <v>0</v>
      </c>
    </row>
    <row r="994" spans="1:14" x14ac:dyDescent="0.25">
      <c r="A994" t="e">
        <f>VLOOKUP(VALUE(RIGHT(B994,4)),'Waste Lookups'!$B$1:$C$295,2,FALSE)</f>
        <v>#N/A</v>
      </c>
      <c r="B994" s="74" t="s">
        <v>2722</v>
      </c>
      <c r="C994" s="74" t="s">
        <v>2723</v>
      </c>
      <c r="D994" s="74">
        <v>0.30884848484848487</v>
      </c>
      <c r="E994" s="74">
        <v>0</v>
      </c>
      <c r="F994" s="74">
        <v>0.32429090909090913</v>
      </c>
      <c r="G994" s="74">
        <v>0</v>
      </c>
      <c r="H994" s="74">
        <v>0</v>
      </c>
      <c r="I994" s="74"/>
      <c r="J994" s="74">
        <v>0.30529292929292934</v>
      </c>
      <c r="K994" s="74">
        <v>0</v>
      </c>
      <c r="L994" s="74">
        <v>0.32055757575757576</v>
      </c>
      <c r="M994" s="74">
        <v>0</v>
      </c>
      <c r="N994" s="74">
        <v>0</v>
      </c>
    </row>
    <row r="995" spans="1:14" x14ac:dyDescent="0.25">
      <c r="A995" t="e">
        <f>VLOOKUP(VALUE(RIGHT(B995,4)),'Waste Lookups'!$B$1:$C$295,2,FALSE)</f>
        <v>#N/A</v>
      </c>
      <c r="B995" s="74" t="s">
        <v>2724</v>
      </c>
      <c r="C995" s="74" t="s">
        <v>2725</v>
      </c>
      <c r="D995" s="74">
        <v>0</v>
      </c>
      <c r="E995" s="74">
        <v>0</v>
      </c>
      <c r="F995" s="74">
        <v>0</v>
      </c>
      <c r="G995" s="74">
        <v>0</v>
      </c>
      <c r="H995" s="74">
        <v>6.2904642082429501</v>
      </c>
      <c r="I995" s="74"/>
      <c r="J995" s="74">
        <v>0</v>
      </c>
      <c r="K995" s="74">
        <v>0</v>
      </c>
      <c r="L995" s="74">
        <v>0</v>
      </c>
      <c r="M995" s="74">
        <v>0</v>
      </c>
      <c r="N995" s="74">
        <v>5.478039045553146</v>
      </c>
    </row>
    <row r="996" spans="1:14" x14ac:dyDescent="0.25">
      <c r="A996" t="e">
        <f>VLOOKUP(VALUE(RIGHT(B996,4)),'Waste Lookups'!$B$1:$C$295,2,FALSE)</f>
        <v>#N/A</v>
      </c>
      <c r="B996" s="74" t="s">
        <v>2726</v>
      </c>
      <c r="C996" s="74" t="s">
        <v>2727</v>
      </c>
      <c r="D996" s="74">
        <v>0.65600000000000003</v>
      </c>
      <c r="E996" s="74">
        <v>0</v>
      </c>
      <c r="F996" s="74">
        <v>5.198472727272728</v>
      </c>
      <c r="G996" s="74">
        <v>1.4853599999999998</v>
      </c>
      <c r="H996" s="74">
        <v>0</v>
      </c>
      <c r="I996" s="74"/>
      <c r="J996" s="74">
        <v>0.13959324997634243</v>
      </c>
      <c r="K996" s="74">
        <v>0</v>
      </c>
      <c r="L996" s="74">
        <v>1.1062068641972262</v>
      </c>
      <c r="M996" s="74">
        <v>0.31607656979399384</v>
      </c>
      <c r="N996" s="74">
        <v>0</v>
      </c>
    </row>
    <row r="997" spans="1:14" x14ac:dyDescent="0.25">
      <c r="A997" t="e">
        <f>VLOOKUP(VALUE(RIGHT(B997,4)),'Waste Lookups'!$B$1:$C$295,2,FALSE)</f>
        <v>#N/A</v>
      </c>
      <c r="B997" s="74" t="s">
        <v>2728</v>
      </c>
      <c r="C997" s="74" t="s">
        <v>2729</v>
      </c>
      <c r="D997" s="74">
        <v>2.4063636363636367</v>
      </c>
      <c r="E997" s="74">
        <v>0</v>
      </c>
      <c r="F997" s="74">
        <v>4.2438909090909096</v>
      </c>
      <c r="G997" s="74">
        <v>1.6058700000000001</v>
      </c>
      <c r="H997" s="74">
        <v>0</v>
      </c>
      <c r="I997" s="74"/>
      <c r="J997" s="74">
        <v>2.8552682582981279</v>
      </c>
      <c r="K997" s="74">
        <v>0</v>
      </c>
      <c r="L997" s="74">
        <v>5.0355843237053195</v>
      </c>
      <c r="M997" s="74">
        <v>1.9054433705132363</v>
      </c>
      <c r="N997" s="74">
        <v>0</v>
      </c>
    </row>
    <row r="998" spans="1:14" x14ac:dyDescent="0.25">
      <c r="A998" t="e">
        <f>VLOOKUP(VALUE(RIGHT(B998,4)),'Waste Lookups'!$B$1:$C$295,2,FALSE)</f>
        <v>#N/A</v>
      </c>
      <c r="B998" s="74" t="s">
        <v>2730</v>
      </c>
      <c r="C998" s="74" t="s">
        <v>2731</v>
      </c>
      <c r="D998" s="74">
        <v>13.557212121212121</v>
      </c>
      <c r="E998" s="74">
        <v>0</v>
      </c>
      <c r="F998" s="74">
        <v>4.1677454545454555</v>
      </c>
      <c r="G998" s="74">
        <v>1.8188999999999997</v>
      </c>
      <c r="H998" s="74">
        <v>0</v>
      </c>
      <c r="I998" s="74"/>
      <c r="J998" s="74">
        <v>16.858367772764556</v>
      </c>
      <c r="K998" s="74">
        <v>0</v>
      </c>
      <c r="L998" s="74">
        <v>5.182583633552615</v>
      </c>
      <c r="M998" s="74">
        <v>2.2617987288038295</v>
      </c>
      <c r="N998" s="74">
        <v>0</v>
      </c>
    </row>
    <row r="999" spans="1:14" x14ac:dyDescent="0.25">
      <c r="A999" t="e">
        <f>VLOOKUP(VALUE(RIGHT(B999,4)),'Waste Lookups'!$B$1:$C$295,2,FALSE)</f>
        <v>#N/A</v>
      </c>
      <c r="B999" s="74" t="s">
        <v>2732</v>
      </c>
      <c r="C999" s="74" t="s">
        <v>2733</v>
      </c>
      <c r="D999" s="74">
        <v>3.832121212121212</v>
      </c>
      <c r="E999" s="74">
        <v>0</v>
      </c>
      <c r="F999" s="74">
        <v>6.1964000000000006</v>
      </c>
      <c r="G999" s="74">
        <v>0.23435999999999998</v>
      </c>
      <c r="H999" s="74">
        <v>0</v>
      </c>
      <c r="I999" s="74"/>
      <c r="J999" s="74">
        <v>3.9740697513286292</v>
      </c>
      <c r="K999" s="74">
        <v>0</v>
      </c>
      <c r="L999" s="74">
        <v>6.4259256020510822</v>
      </c>
      <c r="M999" s="74">
        <v>0.24304110840111862</v>
      </c>
      <c r="N999" s="74">
        <v>0</v>
      </c>
    </row>
    <row r="1000" spans="1:14" x14ac:dyDescent="0.25">
      <c r="A1000" t="e">
        <f>VLOOKUP(VALUE(RIGHT(B1000,4)),'Waste Lookups'!$B$1:$C$295,2,FALSE)</f>
        <v>#N/A</v>
      </c>
      <c r="B1000" s="74" t="s">
        <v>2734</v>
      </c>
      <c r="C1000" s="74" t="s">
        <v>2735</v>
      </c>
      <c r="D1000" s="74">
        <v>3.2648181818181823</v>
      </c>
      <c r="E1000" s="74">
        <v>0</v>
      </c>
      <c r="F1000" s="74">
        <v>4.6369454545454554</v>
      </c>
      <c r="G1000" s="74">
        <v>2.8948499999999999</v>
      </c>
      <c r="H1000" s="74">
        <v>0</v>
      </c>
      <c r="I1000" s="74"/>
      <c r="J1000" s="74">
        <v>3.0580631450412215</v>
      </c>
      <c r="K1000" s="74">
        <v>0</v>
      </c>
      <c r="L1000" s="74">
        <v>4.3432960766638988</v>
      </c>
      <c r="M1000" s="74">
        <v>2.7115243797412747</v>
      </c>
      <c r="N1000" s="74">
        <v>0</v>
      </c>
    </row>
    <row r="1001" spans="1:14" x14ac:dyDescent="0.25">
      <c r="A1001" t="e">
        <f>VLOOKUP(VALUE(RIGHT(B1001,4)),'Waste Lookups'!$B$1:$C$295,2,FALSE)</f>
        <v>#N/A</v>
      </c>
      <c r="B1001" s="74" t="s">
        <v>2736</v>
      </c>
      <c r="C1001" s="74" t="s">
        <v>2737</v>
      </c>
      <c r="D1001" s="74">
        <v>0.98227272727272719</v>
      </c>
      <c r="E1001" s="74">
        <v>0</v>
      </c>
      <c r="F1001" s="74">
        <v>0.73203636363636371</v>
      </c>
      <c r="G1001" s="74">
        <v>1.53342</v>
      </c>
      <c r="H1001" s="74">
        <v>0</v>
      </c>
      <c r="I1001" s="74"/>
      <c r="J1001" s="74">
        <v>1.938673410243549</v>
      </c>
      <c r="K1001" s="74">
        <v>0</v>
      </c>
      <c r="L1001" s="74">
        <v>1.4447916491110742</v>
      </c>
      <c r="M1001" s="74">
        <v>3.0264513084768443</v>
      </c>
      <c r="N1001" s="74">
        <v>0</v>
      </c>
    </row>
    <row r="1002" spans="1:14" x14ac:dyDescent="0.25">
      <c r="A1002" t="e">
        <f>VLOOKUP(VALUE(RIGHT(B1002,4)),'Waste Lookups'!$B$1:$C$295,2,FALSE)</f>
        <v>#N/A</v>
      </c>
      <c r="B1002" s="74" t="s">
        <v>2738</v>
      </c>
      <c r="C1002" s="74" t="s">
        <v>2739</v>
      </c>
      <c r="D1002" s="74">
        <v>2.5287575757575755</v>
      </c>
      <c r="E1002" s="74">
        <v>0</v>
      </c>
      <c r="F1002" s="74">
        <v>6.1801090909090908</v>
      </c>
      <c r="G1002" s="74">
        <v>2.8300499999999995</v>
      </c>
      <c r="H1002" s="74">
        <v>0</v>
      </c>
      <c r="I1002" s="74"/>
      <c r="J1002" s="74">
        <v>3.3997995581085707</v>
      </c>
      <c r="K1002" s="74">
        <v>0</v>
      </c>
      <c r="L1002" s="74">
        <v>8.3088756145558502</v>
      </c>
      <c r="M1002" s="74">
        <v>3.8048735203660953</v>
      </c>
      <c r="N1002" s="74">
        <v>0</v>
      </c>
    </row>
    <row r="1003" spans="1:14" x14ac:dyDescent="0.25">
      <c r="A1003" t="e">
        <f>VLOOKUP(VALUE(RIGHT(B1003,4)),'Waste Lookups'!$B$1:$C$295,2,FALSE)</f>
        <v>#N/A</v>
      </c>
      <c r="B1003" s="74" t="s">
        <v>2740</v>
      </c>
      <c r="C1003" s="74" t="s">
        <v>2741</v>
      </c>
      <c r="D1003" s="74">
        <v>0</v>
      </c>
      <c r="E1003" s="74">
        <v>0</v>
      </c>
      <c r="F1003" s="74">
        <v>10.111527272727272</v>
      </c>
      <c r="G1003" s="74">
        <v>0</v>
      </c>
      <c r="H1003" s="74">
        <v>0</v>
      </c>
      <c r="I1003" s="74"/>
      <c r="J1003" s="74">
        <v>0</v>
      </c>
      <c r="K1003" s="74">
        <v>0</v>
      </c>
      <c r="L1003" s="74">
        <v>2.3044666666666669</v>
      </c>
      <c r="M1003" s="74">
        <v>0</v>
      </c>
      <c r="N1003" s="74">
        <v>0</v>
      </c>
    </row>
    <row r="1004" spans="1:14" x14ac:dyDescent="0.25">
      <c r="A1004" t="str">
        <f>VLOOKUP(VALUE(RIGHT(B1004,4)),'Waste Lookups'!$B$1:$C$295,2,FALSE)</f>
        <v>1 Standard Court</v>
      </c>
      <c r="B1004" s="74" t="s">
        <v>785</v>
      </c>
      <c r="C1004" s="74" t="s">
        <v>2742</v>
      </c>
      <c r="D1004" s="74">
        <v>3.9667272727272729</v>
      </c>
      <c r="E1004" s="74">
        <v>0</v>
      </c>
      <c r="F1004" s="74">
        <v>8.1854545454545458E-2</v>
      </c>
      <c r="G1004" s="74">
        <v>4.7080799999999998</v>
      </c>
      <c r="H1004" s="74">
        <v>0</v>
      </c>
      <c r="I1004" s="74"/>
      <c r="J1004" s="74">
        <v>5.9426983936727122</v>
      </c>
      <c r="K1004" s="74">
        <v>0</v>
      </c>
      <c r="L1004" s="74">
        <v>0.12262927152364922</v>
      </c>
      <c r="M1004" s="74">
        <v>7.0533458767499848</v>
      </c>
      <c r="N1004" s="74">
        <v>0</v>
      </c>
    </row>
    <row r="1005" spans="1:14" x14ac:dyDescent="0.25">
      <c r="A1005" t="e">
        <f>VLOOKUP(VALUE(RIGHT(B1005,4)),'Waste Lookups'!$B$1:$C$295,2,FALSE)</f>
        <v>#N/A</v>
      </c>
      <c r="B1005" s="74" t="s">
        <v>2743</v>
      </c>
      <c r="C1005" s="74" t="s">
        <v>2744</v>
      </c>
      <c r="D1005" s="74">
        <v>1.7699090909090913</v>
      </c>
      <c r="E1005" s="74">
        <v>0</v>
      </c>
      <c r="F1005" s="74">
        <v>5.4618727272727279</v>
      </c>
      <c r="G1005" s="74">
        <v>2.37033</v>
      </c>
      <c r="H1005" s="74">
        <v>0</v>
      </c>
      <c r="I1005" s="74"/>
      <c r="J1005" s="74">
        <v>1.9900676140105813</v>
      </c>
      <c r="K1005" s="74">
        <v>0</v>
      </c>
      <c r="L1005" s="74">
        <v>6.1412736293761432</v>
      </c>
      <c r="M1005" s="74">
        <v>2.6651747209766659</v>
      </c>
      <c r="N1005" s="74">
        <v>0</v>
      </c>
    </row>
    <row r="1006" spans="1:14" x14ac:dyDescent="0.25">
      <c r="A1006" t="e">
        <f>VLOOKUP(VALUE(RIGHT(B1006,4)),'Waste Lookups'!$B$1:$C$295,2,FALSE)</f>
        <v>#N/A</v>
      </c>
      <c r="B1006" s="74" t="s">
        <v>2745</v>
      </c>
      <c r="C1006" s="74" t="s">
        <v>2746</v>
      </c>
      <c r="D1006" s="74">
        <v>2.6148787878787876</v>
      </c>
      <c r="E1006" s="74">
        <v>0</v>
      </c>
      <c r="F1006" s="74">
        <v>4.0058545454545458</v>
      </c>
      <c r="G1006" s="74">
        <v>2.8956599999999999</v>
      </c>
      <c r="H1006" s="74">
        <v>0</v>
      </c>
      <c r="I1006" s="74"/>
      <c r="J1006" s="74">
        <v>3.1901188808241687</v>
      </c>
      <c r="K1006" s="74">
        <v>0</v>
      </c>
      <c r="L1006" s="74">
        <v>4.8870916229568042</v>
      </c>
      <c r="M1006" s="74">
        <v>3.5326683903160383</v>
      </c>
      <c r="N1006" s="74">
        <v>0</v>
      </c>
    </row>
    <row r="1007" spans="1:14" x14ac:dyDescent="0.25">
      <c r="A1007" t="e">
        <f>VLOOKUP(VALUE(RIGHT(B1007,4)),'Waste Lookups'!$B$1:$C$295,2,FALSE)</f>
        <v>#N/A</v>
      </c>
      <c r="B1007" s="74" t="s">
        <v>2747</v>
      </c>
      <c r="C1007" s="74" t="s">
        <v>2748</v>
      </c>
      <c r="D1007" s="74">
        <v>2.0392727272727273</v>
      </c>
      <c r="E1007" s="74">
        <v>0</v>
      </c>
      <c r="F1007" s="74">
        <v>5.9592000000000001</v>
      </c>
      <c r="G1007" s="74">
        <v>1.6912799999999999</v>
      </c>
      <c r="H1007" s="74">
        <v>0</v>
      </c>
      <c r="I1007" s="74"/>
      <c r="J1007" s="74">
        <v>1.8092707848045799</v>
      </c>
      <c r="K1007" s="74">
        <v>0</v>
      </c>
      <c r="L1007" s="74">
        <v>5.2870841239694188</v>
      </c>
      <c r="M1007" s="74">
        <v>1.5005268554817759</v>
      </c>
      <c r="N1007" s="74">
        <v>0</v>
      </c>
    </row>
    <row r="1008" spans="1:14" x14ac:dyDescent="0.25">
      <c r="A1008" t="str">
        <f>VLOOKUP(VALUE(RIGHT(B1008,4)),'Waste Lookups'!$B$1:$C$295,2,FALSE)</f>
        <v>Wollaton Vale Health Centre</v>
      </c>
      <c r="B1008" s="74" t="s">
        <v>786</v>
      </c>
      <c r="C1008" s="74" t="s">
        <v>2749</v>
      </c>
      <c r="D1008" s="74">
        <v>4.8495757575757574</v>
      </c>
      <c r="E1008" s="74">
        <v>0</v>
      </c>
      <c r="F1008" s="74">
        <v>4.1701454545454544</v>
      </c>
      <c r="G1008" s="74">
        <v>1.46061</v>
      </c>
      <c r="H1008" s="74">
        <v>0</v>
      </c>
      <c r="I1008" s="74"/>
      <c r="J1008" s="74">
        <v>4.2760865603994072</v>
      </c>
      <c r="K1008" s="74">
        <v>0</v>
      </c>
      <c r="L1008" s="74">
        <v>3.6770026543530974</v>
      </c>
      <c r="M1008" s="74">
        <v>1.2878847765659243</v>
      </c>
      <c r="N1008" s="74">
        <v>0</v>
      </c>
    </row>
    <row r="1009" spans="1:14" x14ac:dyDescent="0.25">
      <c r="A1009" t="e">
        <f>VLOOKUP(VALUE(RIGHT(B1009,4)),'Waste Lookups'!$B$1:$C$295,2,FALSE)</f>
        <v>#N/A</v>
      </c>
      <c r="B1009" s="74" t="s">
        <v>2750</v>
      </c>
      <c r="C1009" s="74" t="s">
        <v>2751</v>
      </c>
      <c r="D1009" s="74">
        <v>0</v>
      </c>
      <c r="E1009" s="74">
        <v>6.7441800000000001</v>
      </c>
      <c r="F1009" s="74">
        <v>0</v>
      </c>
      <c r="G1009" s="74">
        <v>10.11951</v>
      </c>
      <c r="H1009" s="74">
        <v>28.219406034312758</v>
      </c>
      <c r="I1009" s="74"/>
      <c r="J1009" s="74">
        <v>0</v>
      </c>
      <c r="K1009" s="74">
        <v>5.1083366168181881</v>
      </c>
      <c r="L1009" s="74">
        <v>0</v>
      </c>
      <c r="M1009" s="74">
        <v>7.6649590427980607</v>
      </c>
      <c r="N1009" s="74">
        <v>21.374611168435599</v>
      </c>
    </row>
    <row r="1010" spans="1:14" x14ac:dyDescent="0.25">
      <c r="A1010" t="e">
        <f>VLOOKUP(VALUE(RIGHT(B1010,4)),'Waste Lookups'!$B$1:$C$295,2,FALSE)</f>
        <v>#N/A</v>
      </c>
      <c r="B1010" s="74" t="s">
        <v>2752</v>
      </c>
      <c r="C1010" s="74" t="s">
        <v>2753</v>
      </c>
      <c r="D1010" s="74">
        <v>0.45484848484848489</v>
      </c>
      <c r="E1010" s="74">
        <v>3.8829600000000002</v>
      </c>
      <c r="F1010" s="74">
        <v>0</v>
      </c>
      <c r="G1010" s="74">
        <v>5.8241700000000005</v>
      </c>
      <c r="H1010" s="74">
        <v>0</v>
      </c>
      <c r="I1010" s="74"/>
      <c r="J1010" s="74">
        <v>0.58482318948945</v>
      </c>
      <c r="K1010" s="74">
        <v>4.9925307602517321</v>
      </c>
      <c r="L1010" s="74">
        <v>0</v>
      </c>
      <c r="M1010" s="74">
        <v>7.4884489868387343</v>
      </c>
      <c r="N1010" s="74">
        <v>0</v>
      </c>
    </row>
    <row r="1011" spans="1:14" x14ac:dyDescent="0.25">
      <c r="A1011" t="str">
        <f>VLOOKUP(VALUE(RIGHT(B1011,4)),'Waste Lookups'!$B$1:$C$295,2,FALSE)</f>
        <v>Lakeside</v>
      </c>
      <c r="B1011" s="74" t="s">
        <v>671</v>
      </c>
      <c r="C1011" s="74" t="s">
        <v>2754</v>
      </c>
      <c r="D1011" s="74">
        <v>0</v>
      </c>
      <c r="E1011" s="74">
        <v>6.6765600000000003</v>
      </c>
      <c r="F1011" s="74">
        <v>0</v>
      </c>
      <c r="G1011" s="74">
        <v>20.051009999999998</v>
      </c>
      <c r="H1011" s="74">
        <v>0</v>
      </c>
      <c r="I1011" s="74"/>
      <c r="J1011" s="74">
        <v>0</v>
      </c>
      <c r="K1011" s="74">
        <v>4.3259238257824073</v>
      </c>
      <c r="L1011" s="74">
        <v>0</v>
      </c>
      <c r="M1011" s="74">
        <v>12.991591761326386</v>
      </c>
      <c r="N1011" s="74">
        <v>0</v>
      </c>
    </row>
    <row r="1012" spans="1:14" x14ac:dyDescent="0.25">
      <c r="A1012" t="e">
        <f>VLOOKUP(VALUE(RIGHT(B1012,4)),'Waste Lookups'!$B$1:$C$295,2,FALSE)</f>
        <v>#N/A</v>
      </c>
      <c r="B1012" s="74" t="s">
        <v>2755</v>
      </c>
      <c r="C1012" s="74" t="s">
        <v>2756</v>
      </c>
      <c r="D1012" s="74">
        <v>0</v>
      </c>
      <c r="E1012" s="74">
        <v>1.704</v>
      </c>
      <c r="F1012" s="74">
        <v>0</v>
      </c>
      <c r="G1012" s="74">
        <v>2.5559099999999999</v>
      </c>
      <c r="H1012" s="74">
        <v>0</v>
      </c>
      <c r="I1012" s="74"/>
      <c r="J1012" s="74">
        <v>0</v>
      </c>
      <c r="K1012" s="74">
        <v>1.0269780806000106</v>
      </c>
      <c r="L1012" s="74">
        <v>0</v>
      </c>
      <c r="M1012" s="74">
        <v>1.5404128790999838</v>
      </c>
      <c r="N1012" s="74">
        <v>0</v>
      </c>
    </row>
    <row r="1013" spans="1:14" x14ac:dyDescent="0.25">
      <c r="A1013" t="e">
        <f>VLOOKUP(VALUE(RIGHT(B1013,4)),'Waste Lookups'!$B$1:$C$295,2,FALSE)</f>
        <v>#N/A</v>
      </c>
      <c r="B1013" s="74" t="s">
        <v>2757</v>
      </c>
      <c r="C1013" s="74" t="s">
        <v>2758</v>
      </c>
      <c r="D1013" s="74">
        <v>0</v>
      </c>
      <c r="E1013" s="74">
        <v>0</v>
      </c>
      <c r="F1013" s="74">
        <v>0</v>
      </c>
      <c r="G1013" s="74">
        <v>0</v>
      </c>
      <c r="H1013" s="74">
        <v>0</v>
      </c>
      <c r="I1013" s="74"/>
      <c r="J1013" s="74">
        <v>0</v>
      </c>
      <c r="K1013" s="74">
        <v>0</v>
      </c>
      <c r="L1013" s="74">
        <v>0</v>
      </c>
      <c r="M1013" s="74">
        <v>0</v>
      </c>
      <c r="N1013" s="74">
        <v>0</v>
      </c>
    </row>
    <row r="1014" spans="1:14" x14ac:dyDescent="0.25">
      <c r="A1014" t="e">
        <f>VLOOKUP(VALUE(RIGHT(B1014,4)),'Waste Lookups'!$B$1:$C$295,2,FALSE)</f>
        <v>#N/A</v>
      </c>
      <c r="B1014" s="74" t="s">
        <v>2759</v>
      </c>
      <c r="C1014" s="74" t="s">
        <v>2760</v>
      </c>
      <c r="D1014" s="74">
        <v>0</v>
      </c>
      <c r="E1014" s="74">
        <v>0</v>
      </c>
      <c r="F1014" s="74">
        <v>0</v>
      </c>
      <c r="G1014" s="74">
        <v>0</v>
      </c>
      <c r="H1014" s="74">
        <v>0</v>
      </c>
      <c r="I1014" s="74"/>
      <c r="J1014" s="74">
        <v>0</v>
      </c>
      <c r="K1014" s="74">
        <v>0</v>
      </c>
      <c r="L1014" s="74">
        <v>0</v>
      </c>
      <c r="M1014" s="74">
        <v>0</v>
      </c>
      <c r="N1014" s="74">
        <v>0</v>
      </c>
    </row>
    <row r="1015" spans="1:14" x14ac:dyDescent="0.25">
      <c r="A1015" t="e">
        <f>VLOOKUP(VALUE(RIGHT(B1015,4)),'Waste Lookups'!$B$1:$C$295,2,FALSE)</f>
        <v>#N/A</v>
      </c>
      <c r="B1015" s="74" t="s">
        <v>2761</v>
      </c>
      <c r="C1015" s="74" t="s">
        <v>2762</v>
      </c>
      <c r="D1015" s="74">
        <v>0.18700000000000003</v>
      </c>
      <c r="E1015" s="74">
        <v>1.36086</v>
      </c>
      <c r="F1015" s="74">
        <v>0</v>
      </c>
      <c r="G1015" s="74">
        <v>2.04129</v>
      </c>
      <c r="H1015" s="74">
        <v>0</v>
      </c>
      <c r="I1015" s="74"/>
      <c r="J1015" s="74">
        <v>0.3649934605010382</v>
      </c>
      <c r="K1015" s="74">
        <v>2.656176474103972</v>
      </c>
      <c r="L1015" s="74">
        <v>0</v>
      </c>
      <c r="M1015" s="74">
        <v>3.9842647111559577</v>
      </c>
      <c r="N1015" s="74">
        <v>0</v>
      </c>
    </row>
    <row r="1016" spans="1:14" x14ac:dyDescent="0.25">
      <c r="A1016" t="e">
        <f>VLOOKUP(VALUE(RIGHT(B1016,4)),'Waste Lookups'!$B$1:$C$295,2,FALSE)</f>
        <v>#N/A</v>
      </c>
      <c r="B1016" s="74" t="s">
        <v>2763</v>
      </c>
      <c r="C1016" s="74" t="s">
        <v>2764</v>
      </c>
      <c r="D1016" s="74">
        <v>0</v>
      </c>
      <c r="E1016" s="74">
        <v>6.0452999999999992</v>
      </c>
      <c r="F1016" s="74">
        <v>0</v>
      </c>
      <c r="G1016" s="74">
        <v>0</v>
      </c>
      <c r="H1016" s="74">
        <v>0</v>
      </c>
      <c r="I1016" s="74"/>
      <c r="J1016" s="74">
        <v>0</v>
      </c>
      <c r="K1016" s="74">
        <v>10.447965</v>
      </c>
      <c r="L1016" s="74">
        <v>0</v>
      </c>
      <c r="M1016" s="74">
        <v>0</v>
      </c>
      <c r="N1016" s="74">
        <v>0</v>
      </c>
    </row>
    <row r="1017" spans="1:14" x14ac:dyDescent="0.25">
      <c r="A1017" t="e">
        <f>VLOOKUP(VALUE(RIGHT(B1017,4)),'Waste Lookups'!$B$1:$C$295,2,FALSE)</f>
        <v>#N/A</v>
      </c>
      <c r="B1017" s="74" t="s">
        <v>2765</v>
      </c>
      <c r="C1017" s="74" t="s">
        <v>2766</v>
      </c>
      <c r="D1017" s="74">
        <v>0</v>
      </c>
      <c r="E1017" s="74">
        <v>2.73</v>
      </c>
      <c r="F1017" s="74">
        <v>0</v>
      </c>
      <c r="G1017" s="74">
        <v>0</v>
      </c>
      <c r="H1017" s="74">
        <v>0</v>
      </c>
      <c r="I1017" s="74"/>
      <c r="J1017" s="74">
        <v>0</v>
      </c>
      <c r="K1017" s="74">
        <v>1.0725</v>
      </c>
      <c r="L1017" s="74">
        <v>0</v>
      </c>
      <c r="M1017" s="74">
        <v>0</v>
      </c>
      <c r="N1017" s="74">
        <v>0</v>
      </c>
    </row>
    <row r="1018" spans="1:14" x14ac:dyDescent="0.25">
      <c r="A1018" t="e">
        <f>VLOOKUP(VALUE(RIGHT(B1018,4)),'Waste Lookups'!$B$1:$C$295,2,FALSE)</f>
        <v>#N/A</v>
      </c>
      <c r="B1018" s="74" t="s">
        <v>2767</v>
      </c>
      <c r="C1018" s="74" t="s">
        <v>2768</v>
      </c>
      <c r="D1018" s="74">
        <v>0</v>
      </c>
      <c r="E1018" s="74">
        <v>35.938499999999998</v>
      </c>
      <c r="F1018" s="74">
        <v>0</v>
      </c>
      <c r="G1018" s="74">
        <v>0</v>
      </c>
      <c r="H1018" s="74">
        <v>0</v>
      </c>
      <c r="I1018" s="74"/>
      <c r="J1018" s="74">
        <v>0</v>
      </c>
      <c r="K1018" s="74">
        <v>36.022525000000002</v>
      </c>
      <c r="L1018" s="74">
        <v>0</v>
      </c>
      <c r="M1018" s="74">
        <v>0</v>
      </c>
      <c r="N1018" s="74">
        <v>0</v>
      </c>
    </row>
    <row r="1019" spans="1:14" x14ac:dyDescent="0.25">
      <c r="A1019" t="e">
        <f>VLOOKUP(VALUE(RIGHT(B1019,4)),'Waste Lookups'!$B$1:$C$295,2,FALSE)</f>
        <v>#N/A</v>
      </c>
      <c r="B1019" s="74" t="s">
        <v>2769</v>
      </c>
      <c r="C1019" s="74" t="s">
        <v>2770</v>
      </c>
      <c r="D1019" s="74">
        <v>0</v>
      </c>
      <c r="E1019" s="74">
        <v>11.91414</v>
      </c>
      <c r="F1019" s="74">
        <v>0</v>
      </c>
      <c r="G1019" s="74">
        <v>2.4440399999999998</v>
      </c>
      <c r="H1019" s="74">
        <v>0</v>
      </c>
      <c r="I1019" s="74"/>
      <c r="J1019" s="74">
        <v>0</v>
      </c>
      <c r="K1019" s="74">
        <v>9.4210775049728657</v>
      </c>
      <c r="L1019" s="74">
        <v>0</v>
      </c>
      <c r="M1019" s="74">
        <v>1.9326187425407026</v>
      </c>
      <c r="N1019" s="74">
        <v>0</v>
      </c>
    </row>
    <row r="1020" spans="1:14" x14ac:dyDescent="0.25">
      <c r="A1020" t="e">
        <f>VLOOKUP(VALUE(RIGHT(B1020,4)),'Waste Lookups'!$B$1:$C$295,2,FALSE)</f>
        <v>#N/A</v>
      </c>
      <c r="B1020" s="74" t="s">
        <v>2771</v>
      </c>
      <c r="C1020" s="74" t="s">
        <v>2772</v>
      </c>
      <c r="D1020" s="74">
        <v>0</v>
      </c>
      <c r="E1020" s="74">
        <v>33.196800000000003</v>
      </c>
      <c r="F1020" s="74">
        <v>0</v>
      </c>
      <c r="G1020" s="74">
        <v>6.6320999999999986</v>
      </c>
      <c r="H1020" s="74">
        <v>0</v>
      </c>
      <c r="I1020" s="74"/>
      <c r="J1020" s="74">
        <v>0</v>
      </c>
      <c r="K1020" s="74">
        <v>12.808559516404294</v>
      </c>
      <c r="L1020" s="74">
        <v>0</v>
      </c>
      <c r="M1020" s="74">
        <v>2.558910725393559</v>
      </c>
      <c r="N1020" s="74">
        <v>0</v>
      </c>
    </row>
    <row r="1021" spans="1:14" x14ac:dyDescent="0.25">
      <c r="A1021" t="e">
        <f>VLOOKUP(VALUE(RIGHT(B1021,4)),'Waste Lookups'!$B$1:$C$295,2,FALSE)</f>
        <v>#N/A</v>
      </c>
      <c r="B1021" s="74" t="s">
        <v>2773</v>
      </c>
      <c r="C1021" s="74" t="s">
        <v>2774</v>
      </c>
      <c r="D1021" s="74">
        <v>0</v>
      </c>
      <c r="E1021" s="74">
        <v>1.3389599999999999</v>
      </c>
      <c r="F1021" s="74">
        <v>0</v>
      </c>
      <c r="G1021" s="74">
        <v>1.5701399999999999</v>
      </c>
      <c r="H1021" s="74">
        <v>0</v>
      </c>
      <c r="I1021" s="74"/>
      <c r="J1021" s="74">
        <v>0</v>
      </c>
      <c r="K1021" s="74">
        <v>1.8290622835873449</v>
      </c>
      <c r="L1021" s="74">
        <v>0</v>
      </c>
      <c r="M1021" s="74">
        <v>2.1448615746189832</v>
      </c>
      <c r="N1021" s="74">
        <v>0</v>
      </c>
    </row>
    <row r="1022" spans="1:14" x14ac:dyDescent="0.25">
      <c r="A1022" t="e">
        <f>VLOOKUP(VALUE(RIGHT(B1022,4)),'Waste Lookups'!$B$1:$C$295,2,FALSE)</f>
        <v>#N/A</v>
      </c>
      <c r="B1022" s="74" t="s">
        <v>2775</v>
      </c>
      <c r="C1022" s="74" t="s">
        <v>2776</v>
      </c>
      <c r="D1022" s="74">
        <v>0</v>
      </c>
      <c r="E1022" s="74">
        <v>11.592660000000002</v>
      </c>
      <c r="F1022" s="74">
        <v>0</v>
      </c>
      <c r="G1022" s="74">
        <v>4.8320999999999996</v>
      </c>
      <c r="H1022" s="74">
        <v>0</v>
      </c>
      <c r="I1022" s="74"/>
      <c r="J1022" s="74">
        <v>0</v>
      </c>
      <c r="K1022" s="74">
        <v>4.9955601198051047</v>
      </c>
      <c r="L1022" s="74">
        <v>0</v>
      </c>
      <c r="M1022" s="74">
        <v>2.082269820292344</v>
      </c>
      <c r="N1022" s="74">
        <v>0</v>
      </c>
    </row>
    <row r="1023" spans="1:14" x14ac:dyDescent="0.25">
      <c r="A1023" t="e">
        <f>VLOOKUP(VALUE(RIGHT(B1023,4)),'Waste Lookups'!$B$1:$C$295,2,FALSE)</f>
        <v>#N/A</v>
      </c>
      <c r="B1023" s="74" t="s">
        <v>2777</v>
      </c>
      <c r="C1023" s="74" t="s">
        <v>2778</v>
      </c>
      <c r="D1023" s="74">
        <v>0</v>
      </c>
      <c r="E1023" s="74">
        <v>0.61487999999999998</v>
      </c>
      <c r="F1023" s="74">
        <v>0</v>
      </c>
      <c r="G1023" s="74">
        <v>0</v>
      </c>
      <c r="H1023" s="74">
        <v>0</v>
      </c>
      <c r="I1023" s="74"/>
      <c r="J1023" s="74">
        <v>0</v>
      </c>
      <c r="K1023" s="74">
        <v>8.2711199999999998</v>
      </c>
      <c r="L1023" s="74">
        <v>0</v>
      </c>
      <c r="M1023" s="74">
        <v>0</v>
      </c>
      <c r="N1023" s="74">
        <v>0</v>
      </c>
    </row>
    <row r="1024" spans="1:14" x14ac:dyDescent="0.25">
      <c r="A1024" t="e">
        <f>VLOOKUP(VALUE(RIGHT(B1024,4)),'Waste Lookups'!$B$1:$C$295,2,FALSE)</f>
        <v>#N/A</v>
      </c>
      <c r="B1024" s="74" t="s">
        <v>2779</v>
      </c>
      <c r="C1024" s="74" t="s">
        <v>2780</v>
      </c>
      <c r="D1024" s="74">
        <v>0</v>
      </c>
      <c r="E1024" s="74">
        <v>31.478939999999998</v>
      </c>
      <c r="F1024" s="74">
        <v>0</v>
      </c>
      <c r="G1024" s="74">
        <v>0</v>
      </c>
      <c r="H1024" s="74">
        <v>0</v>
      </c>
      <c r="I1024" s="74"/>
      <c r="J1024" s="74">
        <v>0</v>
      </c>
      <c r="K1024" s="74">
        <v>23.124089999999999</v>
      </c>
      <c r="L1024" s="74">
        <v>0</v>
      </c>
      <c r="M1024" s="74">
        <v>0</v>
      </c>
      <c r="N1024" s="74">
        <v>0</v>
      </c>
    </row>
    <row r="1025" spans="1:14" x14ac:dyDescent="0.25">
      <c r="A1025" t="e">
        <f>VLOOKUP(VALUE(RIGHT(B1025,4)),'Waste Lookups'!$B$1:$C$295,2,FALSE)</f>
        <v>#N/A</v>
      </c>
      <c r="B1025" s="74" t="s">
        <v>2781</v>
      </c>
      <c r="C1025" s="74" t="s">
        <v>2782</v>
      </c>
      <c r="D1025" s="74">
        <v>0</v>
      </c>
      <c r="E1025" s="74">
        <v>3.0251399999999999</v>
      </c>
      <c r="F1025" s="74">
        <v>0</v>
      </c>
      <c r="G1025" s="74">
        <v>3.9253499999999995</v>
      </c>
      <c r="H1025" s="74">
        <v>0</v>
      </c>
      <c r="I1025" s="74"/>
      <c r="J1025" s="74">
        <v>0</v>
      </c>
      <c r="K1025" s="74">
        <v>3.1406649988302107</v>
      </c>
      <c r="L1025" s="74">
        <v>0</v>
      </c>
      <c r="M1025" s="74">
        <v>4.0752525017546848</v>
      </c>
      <c r="N1025" s="74">
        <v>0</v>
      </c>
    </row>
    <row r="1026" spans="1:14" x14ac:dyDescent="0.25">
      <c r="A1026" t="e">
        <f>VLOOKUP(VALUE(RIGHT(B1026,4)),'Waste Lookups'!$B$1:$C$295,2,FALSE)</f>
        <v>#N/A</v>
      </c>
      <c r="B1026" s="74" t="s">
        <v>2783</v>
      </c>
      <c r="C1026" s="74" t="s">
        <v>2784</v>
      </c>
      <c r="D1026" s="74">
        <v>0</v>
      </c>
      <c r="E1026" s="74">
        <v>14.97372</v>
      </c>
      <c r="F1026" s="74">
        <v>0</v>
      </c>
      <c r="G1026" s="74">
        <v>0</v>
      </c>
      <c r="H1026" s="74">
        <v>0</v>
      </c>
      <c r="I1026" s="74"/>
      <c r="J1026" s="74">
        <v>0</v>
      </c>
      <c r="K1026" s="74">
        <v>14.343999999999999</v>
      </c>
      <c r="L1026" s="74">
        <v>0</v>
      </c>
      <c r="M1026" s="74">
        <v>0</v>
      </c>
      <c r="N1026" s="74">
        <v>0</v>
      </c>
    </row>
    <row r="1027" spans="1:14" x14ac:dyDescent="0.25">
      <c r="A1027" t="e">
        <f>VLOOKUP(VALUE(RIGHT(B1027,4)),'Waste Lookups'!$B$1:$C$295,2,FALSE)</f>
        <v>#N/A</v>
      </c>
      <c r="B1027" s="74" t="s">
        <v>2785</v>
      </c>
      <c r="C1027" s="74" t="s">
        <v>2786</v>
      </c>
      <c r="D1027" s="74">
        <v>0</v>
      </c>
      <c r="E1027" s="74">
        <v>1.5850799999999998</v>
      </c>
      <c r="F1027" s="74">
        <v>0</v>
      </c>
      <c r="G1027" s="74">
        <v>0</v>
      </c>
      <c r="H1027" s="74">
        <v>0</v>
      </c>
      <c r="I1027" s="74"/>
      <c r="J1027" s="74">
        <v>0</v>
      </c>
      <c r="K1027" s="74">
        <v>12.656819999999998</v>
      </c>
      <c r="L1027" s="74">
        <v>0</v>
      </c>
      <c r="M1027" s="74">
        <v>0</v>
      </c>
      <c r="N1027" s="74">
        <v>0</v>
      </c>
    </row>
    <row r="1028" spans="1:14" x14ac:dyDescent="0.25">
      <c r="A1028" t="e">
        <f>VLOOKUP(VALUE(RIGHT(B1028,4)),'Waste Lookups'!$B$1:$C$295,2,FALSE)</f>
        <v>#N/A</v>
      </c>
      <c r="B1028" s="74" t="s">
        <v>2787</v>
      </c>
      <c r="C1028" s="74" t="s">
        <v>2788</v>
      </c>
      <c r="D1028" s="74">
        <v>0</v>
      </c>
      <c r="E1028" s="74">
        <v>2.9019599999999999</v>
      </c>
      <c r="F1028" s="74">
        <v>0</v>
      </c>
      <c r="G1028" s="74">
        <v>1.5229799999999998</v>
      </c>
      <c r="H1028" s="74">
        <v>0</v>
      </c>
      <c r="I1028" s="74"/>
      <c r="J1028" s="74">
        <v>0</v>
      </c>
      <c r="K1028" s="74">
        <v>2.0341307762529102</v>
      </c>
      <c r="L1028" s="74">
        <v>0</v>
      </c>
      <c r="M1028" s="74">
        <v>1.0675338356206345</v>
      </c>
      <c r="N1028" s="74">
        <v>0</v>
      </c>
    </row>
    <row r="1029" spans="1:14" x14ac:dyDescent="0.25">
      <c r="A1029" t="e">
        <f>VLOOKUP(VALUE(RIGHT(B1029,4)),'Waste Lookups'!$B$1:$C$295,2,FALSE)</f>
        <v>#N/A</v>
      </c>
      <c r="B1029" s="74" t="s">
        <v>2789</v>
      </c>
      <c r="C1029" s="74" t="s">
        <v>2790</v>
      </c>
      <c r="D1029" s="74">
        <v>0</v>
      </c>
      <c r="E1029" s="74">
        <v>0</v>
      </c>
      <c r="F1029" s="74">
        <v>0</v>
      </c>
      <c r="G1029" s="74">
        <v>65.558970000000002</v>
      </c>
      <c r="H1029" s="74">
        <v>0</v>
      </c>
      <c r="I1029" s="74"/>
      <c r="J1029" s="74">
        <v>0</v>
      </c>
      <c r="K1029" s="74">
        <v>0</v>
      </c>
      <c r="L1029" s="74">
        <v>0</v>
      </c>
      <c r="M1029" s="74">
        <v>58.017959999999995</v>
      </c>
      <c r="N1029" s="74">
        <v>0</v>
      </c>
    </row>
    <row r="1030" spans="1:14" x14ac:dyDescent="0.25">
      <c r="A1030" t="e">
        <f>VLOOKUP(VALUE(RIGHT(B1030,4)),'Waste Lookups'!$B$1:$C$295,2,FALSE)</f>
        <v>#N/A</v>
      </c>
      <c r="B1030" s="74" t="s">
        <v>2791</v>
      </c>
      <c r="C1030" s="74" t="s">
        <v>2792</v>
      </c>
      <c r="D1030" s="74">
        <v>0</v>
      </c>
      <c r="E1030" s="74">
        <v>2.2799999999999998</v>
      </c>
      <c r="F1030" s="74">
        <v>0</v>
      </c>
      <c r="G1030" s="74">
        <v>0</v>
      </c>
      <c r="H1030" s="74">
        <v>0</v>
      </c>
      <c r="I1030" s="74"/>
      <c r="J1030" s="74">
        <v>0</v>
      </c>
      <c r="K1030" s="74">
        <v>0</v>
      </c>
      <c r="L1030" s="74">
        <v>0</v>
      </c>
      <c r="M1030" s="74">
        <v>0</v>
      </c>
      <c r="N1030" s="74">
        <v>0</v>
      </c>
    </row>
    <row r="1031" spans="1:14" x14ac:dyDescent="0.25">
      <c r="A1031" t="str">
        <f>VLOOKUP(VALUE(RIGHT(B1031,4)),'Waste Lookups'!$B$1:$C$295,2,FALSE)</f>
        <v>Rushbrook House</v>
      </c>
      <c r="B1031" s="74" t="s">
        <v>672</v>
      </c>
      <c r="C1031" s="74" t="s">
        <v>2793</v>
      </c>
      <c r="D1031" s="74">
        <v>0</v>
      </c>
      <c r="E1031" s="74">
        <v>12.682499999999999</v>
      </c>
      <c r="F1031" s="74">
        <v>0</v>
      </c>
      <c r="G1031" s="74">
        <v>0</v>
      </c>
      <c r="H1031" s="74">
        <v>0</v>
      </c>
      <c r="I1031" s="74"/>
      <c r="J1031" s="74">
        <v>0</v>
      </c>
      <c r="K1031" s="74">
        <v>16.3537</v>
      </c>
      <c r="L1031" s="74">
        <v>0</v>
      </c>
      <c r="M1031" s="74">
        <v>0</v>
      </c>
      <c r="N1031" s="74">
        <v>0</v>
      </c>
    </row>
    <row r="1032" spans="1:14" x14ac:dyDescent="0.25">
      <c r="A1032" t="e">
        <f>VLOOKUP(VALUE(RIGHT(B1032,4)),'Waste Lookups'!$B$1:$C$295,2,FALSE)</f>
        <v>#N/A</v>
      </c>
      <c r="B1032" s="74" t="s">
        <v>2794</v>
      </c>
      <c r="C1032" s="74" t="s">
        <v>2795</v>
      </c>
      <c r="D1032" s="74">
        <v>0</v>
      </c>
      <c r="E1032" s="74">
        <v>11.065620000000001</v>
      </c>
      <c r="F1032" s="74">
        <v>0</v>
      </c>
      <c r="G1032" s="74">
        <v>4.8320999999999996</v>
      </c>
      <c r="H1032" s="74">
        <v>0</v>
      </c>
      <c r="I1032" s="74"/>
      <c r="J1032" s="74">
        <v>0</v>
      </c>
      <c r="K1032" s="74">
        <v>2.2538995172541232</v>
      </c>
      <c r="L1032" s="74">
        <v>0</v>
      </c>
      <c r="M1032" s="74">
        <v>0.98422572411881537</v>
      </c>
      <c r="N1032" s="74">
        <v>0</v>
      </c>
    </row>
    <row r="1033" spans="1:14" x14ac:dyDescent="0.25">
      <c r="A1033" t="e">
        <f>VLOOKUP(VALUE(RIGHT(B1033,4)),'Waste Lookups'!$B$1:$C$295,2,FALSE)</f>
        <v>#N/A</v>
      </c>
      <c r="B1033" s="74" t="s">
        <v>2796</v>
      </c>
      <c r="C1033" s="74" t="s">
        <v>2797</v>
      </c>
      <c r="D1033" s="74">
        <v>0</v>
      </c>
      <c r="E1033" s="74">
        <v>0.48240000000000005</v>
      </c>
      <c r="F1033" s="74">
        <v>0</v>
      </c>
      <c r="G1033" s="74">
        <v>0</v>
      </c>
      <c r="H1033" s="74">
        <v>0</v>
      </c>
      <c r="I1033" s="74"/>
      <c r="J1033" s="74">
        <v>0</v>
      </c>
      <c r="K1033" s="74">
        <v>4.11334</v>
      </c>
      <c r="L1033" s="74">
        <v>0</v>
      </c>
      <c r="M1033" s="74">
        <v>0</v>
      </c>
      <c r="N1033" s="74">
        <v>0</v>
      </c>
    </row>
    <row r="1034" spans="1:14" x14ac:dyDescent="0.25">
      <c r="A1034" t="e">
        <f>VLOOKUP(VALUE(RIGHT(B1034,4)),'Waste Lookups'!$B$1:$C$295,2,FALSE)</f>
        <v>#N/A</v>
      </c>
      <c r="B1034" s="74" t="s">
        <v>2798</v>
      </c>
      <c r="C1034" s="74" t="s">
        <v>2799</v>
      </c>
      <c r="D1034" s="74">
        <v>0</v>
      </c>
      <c r="E1034" s="74">
        <v>16.834019999999999</v>
      </c>
      <c r="F1034" s="74">
        <v>0</v>
      </c>
      <c r="G1034" s="74">
        <v>0</v>
      </c>
      <c r="H1034" s="74">
        <v>0</v>
      </c>
      <c r="I1034" s="74"/>
      <c r="J1034" s="74">
        <v>0</v>
      </c>
      <c r="K1034" s="74">
        <v>13.981935</v>
      </c>
      <c r="L1034" s="74">
        <v>0</v>
      </c>
      <c r="M1034" s="74">
        <v>0</v>
      </c>
      <c r="N1034" s="74">
        <v>0</v>
      </c>
    </row>
    <row r="1035" spans="1:14" x14ac:dyDescent="0.25">
      <c r="A1035" t="e">
        <f>VLOOKUP(VALUE(RIGHT(B1035,4)),'Waste Lookups'!$B$1:$C$295,2,FALSE)</f>
        <v>#N/A</v>
      </c>
      <c r="B1035" s="74" t="s">
        <v>2800</v>
      </c>
      <c r="C1035" s="74" t="s">
        <v>2801</v>
      </c>
      <c r="D1035" s="74">
        <v>0</v>
      </c>
      <c r="E1035" s="74">
        <v>0.59903999999999968</v>
      </c>
      <c r="F1035" s="74">
        <v>0</v>
      </c>
      <c r="G1035" s="74">
        <v>0</v>
      </c>
      <c r="H1035" s="74">
        <v>0</v>
      </c>
      <c r="I1035" s="74"/>
      <c r="J1035" s="74">
        <v>0</v>
      </c>
      <c r="K1035" s="74">
        <v>5.6456400000000002</v>
      </c>
      <c r="L1035" s="74">
        <v>0</v>
      </c>
      <c r="M1035" s="74">
        <v>0</v>
      </c>
      <c r="N1035" s="74">
        <v>0</v>
      </c>
    </row>
    <row r="1036" spans="1:14" x14ac:dyDescent="0.25">
      <c r="A1036" t="e">
        <f>VLOOKUP(VALUE(RIGHT(B1036,4)),'Waste Lookups'!$B$1:$C$295,2,FALSE)</f>
        <v>#N/A</v>
      </c>
      <c r="B1036" s="74" t="s">
        <v>2802</v>
      </c>
      <c r="C1036" s="74" t="s">
        <v>2803</v>
      </c>
      <c r="D1036" s="74">
        <v>0</v>
      </c>
      <c r="E1036" s="74">
        <v>11.566739999999999</v>
      </c>
      <c r="F1036" s="74">
        <v>0</v>
      </c>
      <c r="G1036" s="74">
        <v>2.4297300000000006</v>
      </c>
      <c r="H1036" s="74">
        <v>0</v>
      </c>
      <c r="I1036" s="74"/>
      <c r="J1036" s="74">
        <v>0</v>
      </c>
      <c r="K1036" s="74">
        <v>6.1174193346407248</v>
      </c>
      <c r="L1036" s="74">
        <v>0</v>
      </c>
      <c r="M1036" s="74">
        <v>1.2850359980389128</v>
      </c>
      <c r="N1036" s="74">
        <v>0</v>
      </c>
    </row>
    <row r="1037" spans="1:14" x14ac:dyDescent="0.25">
      <c r="A1037" t="e">
        <f>VLOOKUP(VALUE(RIGHT(B1037,4)),'Waste Lookups'!$B$1:$C$295,2,FALSE)</f>
        <v>#N/A</v>
      </c>
      <c r="B1037" s="74" t="s">
        <v>2804</v>
      </c>
      <c r="C1037" s="74" t="s">
        <v>2805</v>
      </c>
      <c r="D1037" s="74">
        <v>0</v>
      </c>
      <c r="E1037" s="74">
        <v>6.0324</v>
      </c>
      <c r="F1037" s="74">
        <v>0</v>
      </c>
      <c r="G1037" s="74">
        <v>0</v>
      </c>
      <c r="H1037" s="74">
        <v>0</v>
      </c>
      <c r="I1037" s="74"/>
      <c r="J1037" s="74">
        <v>0</v>
      </c>
      <c r="K1037" s="74">
        <v>6.0329500000000005</v>
      </c>
      <c r="L1037" s="74">
        <v>0</v>
      </c>
      <c r="M1037" s="74">
        <v>0</v>
      </c>
      <c r="N1037" s="74">
        <v>0</v>
      </c>
    </row>
    <row r="1038" spans="1:14" x14ac:dyDescent="0.25">
      <c r="A1038" t="e">
        <f>VLOOKUP(VALUE(RIGHT(B1038,4)),'Waste Lookups'!$B$1:$C$295,2,FALSE)</f>
        <v>#N/A</v>
      </c>
      <c r="B1038" s="74" t="s">
        <v>2806</v>
      </c>
      <c r="C1038" s="74" t="s">
        <v>2807</v>
      </c>
      <c r="D1038" s="74">
        <v>0</v>
      </c>
      <c r="E1038" s="74">
        <v>0.94673999999999991</v>
      </c>
      <c r="F1038" s="74">
        <v>0</v>
      </c>
      <c r="G1038" s="74">
        <v>1.6096499999999998</v>
      </c>
      <c r="H1038" s="74">
        <v>0</v>
      </c>
      <c r="I1038" s="74"/>
      <c r="J1038" s="74">
        <v>0</v>
      </c>
      <c r="K1038" s="74">
        <v>0.42886969522338403</v>
      </c>
      <c r="L1038" s="74">
        <v>0</v>
      </c>
      <c r="M1038" s="74">
        <v>0.72916545716492398</v>
      </c>
      <c r="N1038" s="74">
        <v>0</v>
      </c>
    </row>
    <row r="1039" spans="1:14" x14ac:dyDescent="0.25">
      <c r="A1039" t="str">
        <f>VLOOKUP(VALUE(RIGHT(B1039,4)),'Waste Lookups'!$B$1:$C$295,2,FALSE)</f>
        <v>Peterborough City Care Centre</v>
      </c>
      <c r="B1039" s="74" t="s">
        <v>781</v>
      </c>
      <c r="C1039" s="74" t="s">
        <v>2808</v>
      </c>
      <c r="D1039" s="74">
        <v>0</v>
      </c>
      <c r="E1039" s="74">
        <v>0</v>
      </c>
      <c r="F1039" s="74">
        <v>0</v>
      </c>
      <c r="G1039" s="74">
        <v>0</v>
      </c>
      <c r="H1039" s="74">
        <v>0</v>
      </c>
      <c r="I1039" s="74"/>
      <c r="J1039" s="74">
        <v>0</v>
      </c>
      <c r="K1039" s="74">
        <v>0</v>
      </c>
      <c r="L1039" s="74">
        <v>0</v>
      </c>
      <c r="M1039" s="74">
        <v>0</v>
      </c>
      <c r="N1039" s="74">
        <v>0</v>
      </c>
    </row>
    <row r="1040" spans="1:14" x14ac:dyDescent="0.25">
      <c r="A1040" t="e">
        <f>VLOOKUP(VALUE(RIGHT(B1040,4)),'Waste Lookups'!$B$1:$C$295,2,FALSE)</f>
        <v>#N/A</v>
      </c>
      <c r="B1040" s="74" t="s">
        <v>2809</v>
      </c>
      <c r="C1040" s="74" t="s">
        <v>2810</v>
      </c>
      <c r="D1040" s="74">
        <v>0</v>
      </c>
      <c r="E1040" s="74">
        <v>0.12461999999999999</v>
      </c>
      <c r="F1040" s="74">
        <v>0</v>
      </c>
      <c r="G1040" s="74">
        <v>0.21599999999999997</v>
      </c>
      <c r="H1040" s="74">
        <v>0</v>
      </c>
      <c r="I1040" s="74"/>
      <c r="J1040" s="74">
        <v>0</v>
      </c>
      <c r="K1040" s="74">
        <v>0.86795125307125309</v>
      </c>
      <c r="L1040" s="74">
        <v>0</v>
      </c>
      <c r="M1040" s="74">
        <v>1.5043931203931202</v>
      </c>
      <c r="N1040" s="74">
        <v>0</v>
      </c>
    </row>
    <row r="1041" spans="1:14" x14ac:dyDescent="0.25">
      <c r="A1041" t="e">
        <f>VLOOKUP(VALUE(RIGHT(B1041,4)),'Waste Lookups'!$B$1:$C$295,2,FALSE)</f>
        <v>#N/A</v>
      </c>
      <c r="B1041" s="74" t="s">
        <v>2811</v>
      </c>
      <c r="C1041" s="74" t="s">
        <v>2812</v>
      </c>
      <c r="D1041" s="74">
        <v>0</v>
      </c>
      <c r="E1041" s="74">
        <v>1.7171999999999998</v>
      </c>
      <c r="F1041" s="74">
        <v>0</v>
      </c>
      <c r="G1041" s="74">
        <v>2.4788700000000001</v>
      </c>
      <c r="H1041" s="74">
        <v>0</v>
      </c>
      <c r="I1041" s="74"/>
      <c r="J1041" s="74">
        <v>0</v>
      </c>
      <c r="K1041" s="74">
        <v>0.45813504620479667</v>
      </c>
      <c r="L1041" s="74">
        <v>0</v>
      </c>
      <c r="M1041" s="74">
        <v>0.66134243069280474</v>
      </c>
      <c r="N1041" s="74">
        <v>0</v>
      </c>
    </row>
    <row r="1042" spans="1:14" x14ac:dyDescent="0.25">
      <c r="A1042" t="e">
        <f>VLOOKUP(VALUE(RIGHT(B1042,4)),'Waste Lookups'!$B$1:$C$295,2,FALSE)</f>
        <v>#N/A</v>
      </c>
      <c r="B1042" s="74" t="s">
        <v>2813</v>
      </c>
      <c r="C1042" s="74" t="s">
        <v>2814</v>
      </c>
      <c r="D1042" s="74">
        <v>0</v>
      </c>
      <c r="E1042" s="74">
        <v>1.0519799999999999</v>
      </c>
      <c r="F1042" s="74">
        <v>0</v>
      </c>
      <c r="G1042" s="74">
        <v>0.78938999999999993</v>
      </c>
      <c r="H1042" s="74">
        <v>0</v>
      </c>
      <c r="I1042" s="74"/>
      <c r="J1042" s="74">
        <v>0</v>
      </c>
      <c r="K1042" s="74">
        <v>0.36990337401155721</v>
      </c>
      <c r="L1042" s="74">
        <v>0</v>
      </c>
      <c r="M1042" s="74">
        <v>0.27756993898266413</v>
      </c>
      <c r="N1042" s="74">
        <v>0</v>
      </c>
    </row>
    <row r="1043" spans="1:14" x14ac:dyDescent="0.25">
      <c r="A1043" t="e">
        <f>VLOOKUP(VALUE(RIGHT(B1043,4)),'Waste Lookups'!$B$1:$C$295,2,FALSE)</f>
        <v>#N/A</v>
      </c>
      <c r="B1043" s="74" t="s">
        <v>2815</v>
      </c>
      <c r="C1043" s="74" t="s">
        <v>2816</v>
      </c>
      <c r="D1043" s="74">
        <v>0</v>
      </c>
      <c r="E1043" s="74">
        <v>0.18966</v>
      </c>
      <c r="F1043" s="74">
        <v>0</v>
      </c>
      <c r="G1043" s="74">
        <v>0</v>
      </c>
      <c r="H1043" s="74">
        <v>0</v>
      </c>
      <c r="I1043" s="74"/>
      <c r="J1043" s="74">
        <v>0</v>
      </c>
      <c r="K1043" s="74">
        <v>6.5800349999999987</v>
      </c>
      <c r="L1043" s="74">
        <v>0</v>
      </c>
      <c r="M1043" s="74">
        <v>0</v>
      </c>
      <c r="N1043" s="74">
        <v>0</v>
      </c>
    </row>
    <row r="1044" spans="1:14" x14ac:dyDescent="0.25">
      <c r="A1044" t="str">
        <f>VLOOKUP(VALUE(RIGHT(B1044,4)),'Waste Lookups'!$B$1:$C$295,2,FALSE)</f>
        <v>Beccles HQ &amp; Warehouse</v>
      </c>
      <c r="B1044" s="74" t="s">
        <v>670</v>
      </c>
      <c r="C1044" s="74" t="s">
        <v>2817</v>
      </c>
      <c r="D1044" s="74">
        <v>0</v>
      </c>
      <c r="E1044" s="74">
        <v>29.58954</v>
      </c>
      <c r="F1044" s="74">
        <v>0</v>
      </c>
      <c r="G1044" s="74">
        <v>1.8720000000000003</v>
      </c>
      <c r="H1044" s="74">
        <v>0</v>
      </c>
      <c r="I1044" s="74"/>
      <c r="J1044" s="74">
        <v>0</v>
      </c>
      <c r="K1044" s="74">
        <v>39.882263130755561</v>
      </c>
      <c r="L1044" s="74">
        <v>0</v>
      </c>
      <c r="M1044" s="74">
        <v>2.5231753038666511</v>
      </c>
      <c r="N1044" s="74">
        <v>0</v>
      </c>
    </row>
    <row r="1045" spans="1:14" x14ac:dyDescent="0.25">
      <c r="A1045" t="e">
        <f>VLOOKUP(VALUE(RIGHT(B1045,4)),'Waste Lookups'!$B$1:$C$295,2,FALSE)</f>
        <v>#N/A</v>
      </c>
      <c r="B1045" s="74" t="s">
        <v>2818</v>
      </c>
      <c r="C1045" s="74" t="s">
        <v>2819</v>
      </c>
      <c r="D1045" s="74">
        <v>0</v>
      </c>
      <c r="E1045" s="74">
        <v>121.902</v>
      </c>
      <c r="F1045" s="74">
        <v>0</v>
      </c>
      <c r="G1045" s="74">
        <v>0</v>
      </c>
      <c r="H1045" s="74">
        <v>0</v>
      </c>
      <c r="I1045" s="74"/>
      <c r="J1045" s="74">
        <v>0</v>
      </c>
      <c r="K1045" s="74">
        <v>0</v>
      </c>
      <c r="L1045" s="74">
        <v>0</v>
      </c>
      <c r="M1045" s="74">
        <v>0</v>
      </c>
      <c r="N1045" s="74">
        <v>0</v>
      </c>
    </row>
    <row r="1046" spans="1:14" x14ac:dyDescent="0.25">
      <c r="A1046" t="e">
        <f>VLOOKUP(VALUE(RIGHT(B1046,4)),'Waste Lookups'!$B$1:$C$295,2,FALSE)</f>
        <v>#N/A</v>
      </c>
      <c r="B1046" s="74" t="s">
        <v>2820</v>
      </c>
      <c r="C1046" s="74" t="s">
        <v>2821</v>
      </c>
      <c r="D1046" s="74">
        <v>0</v>
      </c>
      <c r="E1046" s="74">
        <v>57.246000000000002</v>
      </c>
      <c r="F1046" s="74">
        <v>0</v>
      </c>
      <c r="G1046" s="74">
        <v>0</v>
      </c>
      <c r="H1046" s="74">
        <v>0</v>
      </c>
      <c r="I1046" s="74"/>
      <c r="J1046" s="74">
        <v>0</v>
      </c>
      <c r="K1046" s="74">
        <v>0</v>
      </c>
      <c r="L1046" s="74">
        <v>0</v>
      </c>
      <c r="M1046" s="74">
        <v>0</v>
      </c>
      <c r="N1046" s="74">
        <v>0</v>
      </c>
    </row>
    <row r="1047" spans="1:14" x14ac:dyDescent="0.25">
      <c r="A1047" t="e">
        <f>VLOOKUP(VALUE(RIGHT(B1047,4)),'Waste Lookups'!$B$1:$C$295,2,FALSE)</f>
        <v>#N/A</v>
      </c>
      <c r="B1047" s="74" t="s">
        <v>2822</v>
      </c>
      <c r="C1047" s="74" t="s">
        <v>2823</v>
      </c>
      <c r="D1047" s="74">
        <v>0</v>
      </c>
      <c r="E1047" s="74">
        <v>0</v>
      </c>
      <c r="F1047" s="74">
        <v>0</v>
      </c>
      <c r="G1047" s="74">
        <v>0</v>
      </c>
      <c r="H1047" s="74">
        <v>0</v>
      </c>
      <c r="I1047" s="74"/>
      <c r="J1047" s="74">
        <v>0</v>
      </c>
      <c r="K1047" s="74">
        <v>0</v>
      </c>
      <c r="L1047" s="74">
        <v>0</v>
      </c>
      <c r="M1047" s="74">
        <v>0</v>
      </c>
      <c r="N1047" s="74">
        <v>0</v>
      </c>
    </row>
    <row r="1048" spans="1:14" x14ac:dyDescent="0.25">
      <c r="A1048" t="e">
        <f>VLOOKUP(VALUE(RIGHT(B1048,4)),'Waste Lookups'!$B$1:$C$295,2,FALSE)</f>
        <v>#N/A</v>
      </c>
      <c r="B1048" s="74" t="s">
        <v>2824</v>
      </c>
      <c r="C1048" s="74" t="s">
        <v>2825</v>
      </c>
      <c r="D1048" s="74">
        <v>1.1229090909090911</v>
      </c>
      <c r="E1048" s="74">
        <v>5.7725999999999997</v>
      </c>
      <c r="F1048" s="74">
        <v>0</v>
      </c>
      <c r="G1048" s="74">
        <v>0</v>
      </c>
      <c r="H1048" s="74">
        <v>0</v>
      </c>
      <c r="I1048" s="74"/>
      <c r="J1048" s="74">
        <v>0</v>
      </c>
      <c r="K1048" s="74">
        <v>0</v>
      </c>
      <c r="L1048" s="74">
        <v>0</v>
      </c>
      <c r="M1048" s="74">
        <v>0</v>
      </c>
      <c r="N1048" s="74">
        <v>0</v>
      </c>
    </row>
    <row r="1049" spans="1:14" x14ac:dyDescent="0.25">
      <c r="A1049" t="e">
        <f>VLOOKUP(VALUE(RIGHT(B1049,4)),'Waste Lookups'!$B$1:$C$295,2,FALSE)</f>
        <v>#N/A</v>
      </c>
      <c r="B1049" s="74" t="s">
        <v>2826</v>
      </c>
      <c r="C1049" s="74" t="s">
        <v>2827</v>
      </c>
      <c r="D1049" s="74">
        <v>4.3937878787878786</v>
      </c>
      <c r="E1049" s="74">
        <v>0</v>
      </c>
      <c r="F1049" s="74">
        <v>0</v>
      </c>
      <c r="G1049" s="74">
        <v>0</v>
      </c>
      <c r="H1049" s="74">
        <v>0</v>
      </c>
      <c r="I1049" s="74"/>
      <c r="J1049" s="74">
        <v>3.7113055555555556</v>
      </c>
      <c r="K1049" s="74">
        <v>0</v>
      </c>
      <c r="L1049" s="74">
        <v>0</v>
      </c>
      <c r="M1049" s="74">
        <v>0</v>
      </c>
      <c r="N1049" s="74">
        <v>0</v>
      </c>
    </row>
    <row r="1050" spans="1:14" x14ac:dyDescent="0.25">
      <c r="A1050" t="e">
        <f>VLOOKUP(VALUE(RIGHT(B1050,4)),'Waste Lookups'!$B$1:$C$295,2,FALSE)</f>
        <v>#N/A</v>
      </c>
      <c r="B1050" s="74" t="s">
        <v>2828</v>
      </c>
      <c r="C1050" s="74" t="s">
        <v>2829</v>
      </c>
      <c r="D1050" s="74">
        <v>9.9414242424242438</v>
      </c>
      <c r="E1050" s="74">
        <v>7.0872000000000011</v>
      </c>
      <c r="F1050" s="74">
        <v>0</v>
      </c>
      <c r="G1050" s="74">
        <v>1.2434400000000001</v>
      </c>
      <c r="H1050" s="74">
        <v>0</v>
      </c>
      <c r="I1050" s="74"/>
      <c r="J1050" s="74">
        <v>7.6386416075305785</v>
      </c>
      <c r="K1050" s="74">
        <v>5.4455558359402003</v>
      </c>
      <c r="L1050" s="74">
        <v>0</v>
      </c>
      <c r="M1050" s="74">
        <v>0.95541567172387987</v>
      </c>
      <c r="N1050" s="74">
        <v>0</v>
      </c>
    </row>
    <row r="1051" spans="1:14" x14ac:dyDescent="0.25">
      <c r="A1051" t="e">
        <f>VLOOKUP(VALUE(RIGHT(B1051,4)),'Waste Lookups'!$B$1:$C$295,2,FALSE)</f>
        <v>#N/A</v>
      </c>
      <c r="B1051" s="74" t="s">
        <v>2830</v>
      </c>
      <c r="C1051" s="74" t="s">
        <v>2831</v>
      </c>
      <c r="D1051" s="74">
        <v>9.673</v>
      </c>
      <c r="E1051" s="74">
        <v>5.0517599999999998</v>
      </c>
      <c r="F1051" s="74">
        <v>0</v>
      </c>
      <c r="G1051" s="74">
        <v>0</v>
      </c>
      <c r="H1051" s="74">
        <v>0</v>
      </c>
      <c r="I1051" s="74"/>
      <c r="J1051" s="74">
        <v>9.1275137440454781</v>
      </c>
      <c r="K1051" s="74">
        <v>4.7668777867899497</v>
      </c>
      <c r="L1051" s="74">
        <v>0</v>
      </c>
      <c r="M1051" s="74">
        <v>0</v>
      </c>
      <c r="N1051" s="74">
        <v>0</v>
      </c>
    </row>
    <row r="1052" spans="1:14" x14ac:dyDescent="0.25">
      <c r="A1052" t="e">
        <f>VLOOKUP(VALUE(RIGHT(B1052,4)),'Waste Lookups'!$B$1:$C$295,2,FALSE)</f>
        <v>#N/A</v>
      </c>
      <c r="B1052" s="74" t="s">
        <v>2832</v>
      </c>
      <c r="C1052" s="74" t="s">
        <v>2833</v>
      </c>
      <c r="D1052" s="74">
        <v>32.994999999999997</v>
      </c>
      <c r="E1052" s="74">
        <v>6.15</v>
      </c>
      <c r="F1052" s="74">
        <v>0</v>
      </c>
      <c r="G1052" s="74">
        <v>0</v>
      </c>
      <c r="H1052" s="74">
        <v>0</v>
      </c>
      <c r="I1052" s="74"/>
      <c r="J1052" s="74">
        <v>24.519342760782376</v>
      </c>
      <c r="K1052" s="74">
        <v>4.5702063336509049</v>
      </c>
      <c r="L1052" s="74">
        <v>0</v>
      </c>
      <c r="M1052" s="74">
        <v>0</v>
      </c>
      <c r="N1052" s="74">
        <v>0</v>
      </c>
    </row>
    <row r="1053" spans="1:14" x14ac:dyDescent="0.25">
      <c r="A1053" t="e">
        <f>VLOOKUP(VALUE(RIGHT(B1053,4)),'Waste Lookups'!$B$1:$C$295,2,FALSE)</f>
        <v>#N/A</v>
      </c>
      <c r="B1053" s="74" t="s">
        <v>2834</v>
      </c>
      <c r="C1053" s="74" t="s">
        <v>2835</v>
      </c>
      <c r="D1053" s="74">
        <v>9.7173636363636362</v>
      </c>
      <c r="E1053" s="74">
        <v>6.0072000000000001</v>
      </c>
      <c r="F1053" s="74">
        <v>0</v>
      </c>
      <c r="G1053" s="74">
        <v>1.2434400000000001</v>
      </c>
      <c r="H1053" s="74">
        <v>0</v>
      </c>
      <c r="I1053" s="74"/>
      <c r="J1053" s="74">
        <v>7.4062582647084323</v>
      </c>
      <c r="K1053" s="74">
        <v>4.578492306417953</v>
      </c>
      <c r="L1053" s="74">
        <v>0</v>
      </c>
      <c r="M1053" s="74">
        <v>0.94770949418902983</v>
      </c>
      <c r="N1053" s="74">
        <v>0</v>
      </c>
    </row>
    <row r="1054" spans="1:14" x14ac:dyDescent="0.25">
      <c r="A1054" t="e">
        <f>VLOOKUP(VALUE(RIGHT(B1054,4)),'Waste Lookups'!$B$1:$C$295,2,FALSE)</f>
        <v>#N/A</v>
      </c>
      <c r="B1054" s="74" t="s">
        <v>2836</v>
      </c>
      <c r="C1054" s="74" t="s">
        <v>2837</v>
      </c>
      <c r="D1054" s="74">
        <v>17.594848484848484</v>
      </c>
      <c r="E1054" s="74">
        <v>5.5598399999999994</v>
      </c>
      <c r="F1054" s="74">
        <v>0</v>
      </c>
      <c r="G1054" s="74">
        <v>1.2434400000000001</v>
      </c>
      <c r="H1054" s="74">
        <v>0</v>
      </c>
      <c r="I1054" s="74"/>
      <c r="J1054" s="74">
        <v>12.288714870577085</v>
      </c>
      <c r="K1054" s="74">
        <v>3.883141622098353</v>
      </c>
      <c r="L1054" s="74">
        <v>0</v>
      </c>
      <c r="M1054" s="74">
        <v>0.86845190123852056</v>
      </c>
      <c r="N1054" s="74">
        <v>0</v>
      </c>
    </row>
    <row r="1055" spans="1:14" x14ac:dyDescent="0.25">
      <c r="A1055" t="e">
        <f>VLOOKUP(VALUE(RIGHT(B1055,4)),'Waste Lookups'!$B$1:$C$295,2,FALSE)</f>
        <v>#N/A</v>
      </c>
      <c r="B1055" s="74" t="s">
        <v>2838</v>
      </c>
      <c r="C1055" s="74" t="s">
        <v>2839</v>
      </c>
      <c r="D1055" s="74">
        <v>0</v>
      </c>
      <c r="E1055" s="74">
        <v>29.326799999999999</v>
      </c>
      <c r="F1055" s="74">
        <v>0</v>
      </c>
      <c r="G1055" s="74">
        <v>2.4868800000000002</v>
      </c>
      <c r="H1055" s="74">
        <v>0</v>
      </c>
      <c r="I1055" s="74"/>
      <c r="J1055" s="74">
        <v>0</v>
      </c>
      <c r="K1055" s="74">
        <v>19.244356649729284</v>
      </c>
      <c r="L1055" s="74">
        <v>0</v>
      </c>
      <c r="M1055" s="74">
        <v>1.6319000254060714</v>
      </c>
      <c r="N1055" s="74">
        <v>0</v>
      </c>
    </row>
    <row r="1056" spans="1:14" x14ac:dyDescent="0.25">
      <c r="A1056" t="e">
        <f>VLOOKUP(VALUE(RIGHT(B1056,4)),'Waste Lookups'!$B$1:$C$295,2,FALSE)</f>
        <v>#N/A</v>
      </c>
      <c r="B1056" s="74" t="s">
        <v>2840</v>
      </c>
      <c r="C1056" s="74" t="s">
        <v>2841</v>
      </c>
      <c r="D1056" s="74">
        <v>7.7135151515151517</v>
      </c>
      <c r="E1056" s="74">
        <v>4.6681799999999996</v>
      </c>
      <c r="F1056" s="74">
        <v>0</v>
      </c>
      <c r="G1056" s="74">
        <v>0.75698999999999994</v>
      </c>
      <c r="H1056" s="74">
        <v>0</v>
      </c>
      <c r="I1056" s="74"/>
      <c r="J1056" s="74">
        <v>5.2231547064731121</v>
      </c>
      <c r="K1056" s="74">
        <v>3.1610265694330311</v>
      </c>
      <c r="L1056" s="74">
        <v>0</v>
      </c>
      <c r="M1056" s="74">
        <v>0.51259066762530792</v>
      </c>
      <c r="N1056" s="74">
        <v>0</v>
      </c>
    </row>
    <row r="1057" spans="1:14" x14ac:dyDescent="0.25">
      <c r="A1057" t="e">
        <f>VLOOKUP(VALUE(RIGHT(B1057,4)),'Waste Lookups'!$B$1:$C$295,2,FALSE)</f>
        <v>#N/A</v>
      </c>
      <c r="B1057" s="74" t="s">
        <v>2842</v>
      </c>
      <c r="C1057" s="74" t="s">
        <v>2843</v>
      </c>
      <c r="D1057" s="74">
        <v>19.790909090909093</v>
      </c>
      <c r="E1057" s="74">
        <v>5.5598399999999994</v>
      </c>
      <c r="F1057" s="74">
        <v>0</v>
      </c>
      <c r="G1057" s="74">
        <v>1.2434400000000001</v>
      </c>
      <c r="H1057" s="74">
        <v>0</v>
      </c>
      <c r="I1057" s="74"/>
      <c r="J1057" s="74">
        <v>15.384567063377132</v>
      </c>
      <c r="K1057" s="74">
        <v>4.3219708073408984</v>
      </c>
      <c r="L1057" s="74">
        <v>0</v>
      </c>
      <c r="M1057" s="74">
        <v>0.96659461075857711</v>
      </c>
      <c r="N1057" s="74">
        <v>0</v>
      </c>
    </row>
    <row r="1058" spans="1:14" x14ac:dyDescent="0.25">
      <c r="A1058" t="e">
        <f>VLOOKUP(VALUE(RIGHT(B1058,4)),'Waste Lookups'!$B$1:$C$295,2,FALSE)</f>
        <v>#N/A</v>
      </c>
      <c r="B1058" s="74" t="s">
        <v>2844</v>
      </c>
      <c r="C1058" s="74" t="s">
        <v>2845</v>
      </c>
      <c r="D1058" s="74">
        <v>9.3455151515151513</v>
      </c>
      <c r="E1058" s="74">
        <v>7.9029600000000002</v>
      </c>
      <c r="F1058" s="74">
        <v>0</v>
      </c>
      <c r="G1058" s="74">
        <v>1.5542999999999998</v>
      </c>
      <c r="H1058" s="74">
        <v>0</v>
      </c>
      <c r="I1058" s="74"/>
      <c r="J1058" s="74">
        <v>6.9746073820864947</v>
      </c>
      <c r="K1058" s="74">
        <v>5.8980208434414543</v>
      </c>
      <c r="L1058" s="74">
        <v>0</v>
      </c>
      <c r="M1058" s="74">
        <v>1.1599823100409279</v>
      </c>
      <c r="N1058" s="74">
        <v>0</v>
      </c>
    </row>
    <row r="1059" spans="1:14" x14ac:dyDescent="0.25">
      <c r="A1059" t="e">
        <f>VLOOKUP(VALUE(RIGHT(B1059,4)),'Waste Lookups'!$B$1:$C$295,2,FALSE)</f>
        <v>#N/A</v>
      </c>
      <c r="B1059" s="74" t="s">
        <v>2846</v>
      </c>
      <c r="C1059" s="74" t="s">
        <v>2847</v>
      </c>
      <c r="D1059" s="74">
        <v>17.152757575757576</v>
      </c>
      <c r="E1059" s="74">
        <v>12.57996</v>
      </c>
      <c r="F1059" s="74">
        <v>0</v>
      </c>
      <c r="G1059" s="74">
        <v>2.7977399999999997</v>
      </c>
      <c r="H1059" s="74">
        <v>0</v>
      </c>
      <c r="I1059" s="74"/>
      <c r="J1059" s="74">
        <v>19.061856427478226</v>
      </c>
      <c r="K1059" s="74">
        <v>13.98010729903457</v>
      </c>
      <c r="L1059" s="74">
        <v>0</v>
      </c>
      <c r="M1059" s="74">
        <v>3.1091279618377943</v>
      </c>
      <c r="N1059" s="74">
        <v>0</v>
      </c>
    </row>
    <row r="1060" spans="1:14" x14ac:dyDescent="0.25">
      <c r="A1060" t="e">
        <f>VLOOKUP(VALUE(RIGHT(B1060,4)),'Waste Lookups'!$B$1:$C$295,2,FALSE)</f>
        <v>#N/A</v>
      </c>
      <c r="B1060" s="74" t="s">
        <v>2848</v>
      </c>
      <c r="C1060" s="74" t="s">
        <v>2849</v>
      </c>
      <c r="D1060" s="74">
        <v>17.914878787878788</v>
      </c>
      <c r="E1060" s="74">
        <v>10.49424</v>
      </c>
      <c r="F1060" s="74">
        <v>0</v>
      </c>
      <c r="G1060" s="74">
        <v>1.5542999999999998</v>
      </c>
      <c r="H1060" s="74">
        <v>0</v>
      </c>
      <c r="I1060" s="74"/>
      <c r="J1060" s="74">
        <v>9.8502694245693618</v>
      </c>
      <c r="K1060" s="74">
        <v>5.7701250803903674</v>
      </c>
      <c r="L1060" s="74">
        <v>0</v>
      </c>
      <c r="M1060" s="74">
        <v>0.85461218844344589</v>
      </c>
      <c r="N1060" s="74">
        <v>0</v>
      </c>
    </row>
    <row r="1061" spans="1:14" x14ac:dyDescent="0.25">
      <c r="A1061" t="e">
        <f>VLOOKUP(VALUE(RIGHT(B1061,4)),'Waste Lookups'!$B$1:$C$295,2,FALSE)</f>
        <v>#N/A</v>
      </c>
      <c r="B1061" s="74" t="s">
        <v>2850</v>
      </c>
      <c r="C1061" s="74" t="s">
        <v>2851</v>
      </c>
      <c r="D1061" s="74">
        <v>13.691454545454546</v>
      </c>
      <c r="E1061" s="74">
        <v>13.262579999999998</v>
      </c>
      <c r="F1061" s="74">
        <v>0</v>
      </c>
      <c r="G1061" s="74">
        <v>0</v>
      </c>
      <c r="H1061" s="74">
        <v>0</v>
      </c>
      <c r="I1061" s="74"/>
      <c r="J1061" s="74">
        <v>11.111370926536091</v>
      </c>
      <c r="K1061" s="74">
        <v>10.763315565458543</v>
      </c>
      <c r="L1061" s="74">
        <v>0</v>
      </c>
      <c r="M1061" s="74">
        <v>0</v>
      </c>
      <c r="N1061" s="74">
        <v>0</v>
      </c>
    </row>
    <row r="1062" spans="1:14" x14ac:dyDescent="0.25">
      <c r="A1062" t="e">
        <f>VLOOKUP(VALUE(RIGHT(B1062,4)),'Waste Lookups'!$B$1:$C$295,2,FALSE)</f>
        <v>#N/A</v>
      </c>
      <c r="B1062" s="74" t="s">
        <v>2852</v>
      </c>
      <c r="C1062" s="74" t="s">
        <v>2853</v>
      </c>
      <c r="D1062" s="74">
        <v>0</v>
      </c>
      <c r="E1062" s="74">
        <v>5.5631400000000006</v>
      </c>
      <c r="F1062" s="74">
        <v>0</v>
      </c>
      <c r="G1062" s="74">
        <v>1.2434400000000001</v>
      </c>
      <c r="H1062" s="74">
        <v>0</v>
      </c>
      <c r="I1062" s="74"/>
      <c r="J1062" s="74">
        <v>0</v>
      </c>
      <c r="K1062" s="74">
        <v>4.4628617687145073</v>
      </c>
      <c r="L1062" s="74">
        <v>0</v>
      </c>
      <c r="M1062" s="74">
        <v>0.99751234692823965</v>
      </c>
      <c r="N1062" s="74">
        <v>0</v>
      </c>
    </row>
    <row r="1063" spans="1:14" x14ac:dyDescent="0.25">
      <c r="A1063" t="e">
        <f>VLOOKUP(VALUE(RIGHT(B1063,4)),'Waste Lookups'!$B$1:$C$295,2,FALSE)</f>
        <v>#N/A</v>
      </c>
      <c r="B1063" s="74" t="s">
        <v>2854</v>
      </c>
      <c r="C1063" s="74" t="s">
        <v>2855</v>
      </c>
      <c r="D1063" s="74">
        <v>0</v>
      </c>
      <c r="E1063" s="74">
        <v>3.9955199999999995</v>
      </c>
      <c r="F1063" s="74">
        <v>0</v>
      </c>
      <c r="G1063" s="74">
        <v>0</v>
      </c>
      <c r="H1063" s="74">
        <v>0</v>
      </c>
      <c r="I1063" s="74"/>
      <c r="J1063" s="74">
        <v>0</v>
      </c>
      <c r="K1063" s="74">
        <v>3.5343550000000001</v>
      </c>
      <c r="L1063" s="74">
        <v>0</v>
      </c>
      <c r="M1063" s="74">
        <v>0</v>
      </c>
      <c r="N1063" s="74">
        <v>0</v>
      </c>
    </row>
    <row r="1064" spans="1:14" x14ac:dyDescent="0.25">
      <c r="A1064" t="e">
        <f>VLOOKUP(VALUE(RIGHT(B1064,4)),'Waste Lookups'!$B$1:$C$295,2,FALSE)</f>
        <v>#N/A</v>
      </c>
      <c r="B1064" s="74" t="s">
        <v>2856</v>
      </c>
      <c r="C1064" s="74" t="s">
        <v>2857</v>
      </c>
      <c r="D1064" s="74">
        <v>33.090121212121218</v>
      </c>
      <c r="E1064" s="74">
        <v>9.6264600000000016</v>
      </c>
      <c r="F1064" s="74">
        <v>0</v>
      </c>
      <c r="G1064" s="74">
        <v>2.4868800000000002</v>
      </c>
      <c r="H1064" s="74">
        <v>0</v>
      </c>
      <c r="I1064" s="74"/>
      <c r="J1064" s="74">
        <v>21.288659059784525</v>
      </c>
      <c r="K1064" s="74">
        <v>6.1932207373596437</v>
      </c>
      <c r="L1064" s="74">
        <v>0</v>
      </c>
      <c r="M1064" s="74">
        <v>1.5999439864004992</v>
      </c>
      <c r="N1064" s="74">
        <v>0</v>
      </c>
    </row>
    <row r="1065" spans="1:14" x14ac:dyDescent="0.25">
      <c r="A1065" t="e">
        <f>VLOOKUP(VALUE(RIGHT(B1065,4)),'Waste Lookups'!$B$1:$C$295,2,FALSE)</f>
        <v>#N/A</v>
      </c>
      <c r="B1065" s="74" t="s">
        <v>2858</v>
      </c>
      <c r="C1065" s="74" t="s">
        <v>2859</v>
      </c>
      <c r="D1065" s="74">
        <v>1.9058181818181819</v>
      </c>
      <c r="E1065" s="74">
        <v>0</v>
      </c>
      <c r="F1065" s="74">
        <v>0</v>
      </c>
      <c r="G1065" s="74">
        <v>0</v>
      </c>
      <c r="H1065" s="74">
        <v>0</v>
      </c>
      <c r="I1065" s="74"/>
      <c r="J1065" s="74">
        <v>1.4721666666666668</v>
      </c>
      <c r="K1065" s="74">
        <v>0</v>
      </c>
      <c r="L1065" s="74">
        <v>0</v>
      </c>
      <c r="M1065" s="74">
        <v>0</v>
      </c>
      <c r="N1065" s="74">
        <v>0</v>
      </c>
    </row>
    <row r="1066" spans="1:14" x14ac:dyDescent="0.25">
      <c r="A1066" t="e">
        <f>VLOOKUP(VALUE(RIGHT(B1066,4)),'Waste Lookups'!$B$1:$C$295,2,FALSE)</f>
        <v>#N/A</v>
      </c>
      <c r="B1066" s="74" t="s">
        <v>2860</v>
      </c>
      <c r="C1066" s="74" t="s">
        <v>2861</v>
      </c>
      <c r="D1066" s="74">
        <v>23.418575757575759</v>
      </c>
      <c r="E1066" s="74">
        <v>10.28124</v>
      </c>
      <c r="F1066" s="74">
        <v>0</v>
      </c>
      <c r="G1066" s="74">
        <v>1.2434400000000001</v>
      </c>
      <c r="H1066" s="74">
        <v>0</v>
      </c>
      <c r="I1066" s="74"/>
      <c r="J1066" s="74">
        <v>15.821435412041062</v>
      </c>
      <c r="K1066" s="74">
        <v>6.9459379724692392</v>
      </c>
      <c r="L1066" s="74">
        <v>0</v>
      </c>
      <c r="M1066" s="74">
        <v>0.84005986753418371</v>
      </c>
      <c r="N1066" s="74">
        <v>0</v>
      </c>
    </row>
    <row r="1067" spans="1:14" x14ac:dyDescent="0.25">
      <c r="A1067" t="e">
        <f>VLOOKUP(VALUE(RIGHT(B1067,4)),'Waste Lookups'!$B$1:$C$295,2,FALSE)</f>
        <v>#N/A</v>
      </c>
      <c r="B1067" s="74" t="s">
        <v>2862</v>
      </c>
      <c r="C1067" s="74" t="s">
        <v>2863</v>
      </c>
      <c r="D1067" s="74">
        <v>1.3658484848484851</v>
      </c>
      <c r="E1067" s="74">
        <v>8.2575000000000003</v>
      </c>
      <c r="F1067" s="74">
        <v>0</v>
      </c>
      <c r="G1067" s="74">
        <v>0</v>
      </c>
      <c r="H1067" s="74">
        <v>0</v>
      </c>
      <c r="I1067" s="74"/>
      <c r="J1067" s="74">
        <v>0.75593289517856432</v>
      </c>
      <c r="K1067" s="74">
        <v>4.5701378675464417</v>
      </c>
      <c r="L1067" s="74">
        <v>0</v>
      </c>
      <c r="M1067" s="74">
        <v>0</v>
      </c>
      <c r="N1067" s="74">
        <v>0</v>
      </c>
    </row>
    <row r="1068" spans="1:14" x14ac:dyDescent="0.25">
      <c r="A1068" t="e">
        <f>VLOOKUP(VALUE(RIGHT(B1068,4)),'Waste Lookups'!$B$1:$C$295,2,FALSE)</f>
        <v>#N/A</v>
      </c>
      <c r="B1068" s="74" t="s">
        <v>2864</v>
      </c>
      <c r="C1068" s="74" t="s">
        <v>2865</v>
      </c>
      <c r="D1068" s="74">
        <v>16.117757575757576</v>
      </c>
      <c r="E1068" s="74">
        <v>5.4007200000000006</v>
      </c>
      <c r="F1068" s="74">
        <v>0</v>
      </c>
      <c r="G1068" s="74">
        <v>0.62172000000000005</v>
      </c>
      <c r="H1068" s="74">
        <v>0</v>
      </c>
      <c r="I1068" s="74"/>
      <c r="J1068" s="74">
        <v>12.4301508218221</v>
      </c>
      <c r="K1068" s="74">
        <v>4.1650808948387903</v>
      </c>
      <c r="L1068" s="74">
        <v>0</v>
      </c>
      <c r="M1068" s="74">
        <v>0.47947571693018204</v>
      </c>
      <c r="N1068" s="74">
        <v>0</v>
      </c>
    </row>
    <row r="1069" spans="1:14" x14ac:dyDescent="0.25">
      <c r="A1069" t="e">
        <f>VLOOKUP(VALUE(RIGHT(B1069,4)),'Waste Lookups'!$B$1:$C$295,2,FALSE)</f>
        <v>#N/A</v>
      </c>
      <c r="B1069" s="74" t="s">
        <v>2866</v>
      </c>
      <c r="C1069" s="74" t="s">
        <v>2867</v>
      </c>
      <c r="D1069" s="74">
        <v>3.6682121212121208</v>
      </c>
      <c r="E1069" s="74">
        <v>4.6172399999999998</v>
      </c>
      <c r="F1069" s="74">
        <v>0</v>
      </c>
      <c r="G1069" s="74">
        <v>0.31086000000000003</v>
      </c>
      <c r="H1069" s="74">
        <v>0</v>
      </c>
      <c r="I1069" s="74"/>
      <c r="J1069" s="74">
        <v>3.0786326181064689</v>
      </c>
      <c r="K1069" s="74">
        <v>3.8751264103365948</v>
      </c>
      <c r="L1069" s="74">
        <v>0</v>
      </c>
      <c r="M1069" s="74">
        <v>0.26089650871889569</v>
      </c>
      <c r="N1069" s="74">
        <v>0</v>
      </c>
    </row>
    <row r="1070" spans="1:14" x14ac:dyDescent="0.25">
      <c r="A1070" t="e">
        <f>VLOOKUP(VALUE(RIGHT(B1070,4)),'Waste Lookups'!$B$1:$C$295,2,FALSE)</f>
        <v>#N/A</v>
      </c>
      <c r="B1070" s="74" t="s">
        <v>2868</v>
      </c>
      <c r="C1070" s="74" t="s">
        <v>2869</v>
      </c>
      <c r="D1070" s="74">
        <v>27.937545454545457</v>
      </c>
      <c r="E1070" s="74">
        <v>20.069399999999998</v>
      </c>
      <c r="F1070" s="74">
        <v>0</v>
      </c>
      <c r="G1070" s="74">
        <v>2.4868800000000002</v>
      </c>
      <c r="H1070" s="74">
        <v>0</v>
      </c>
      <c r="I1070" s="74"/>
      <c r="J1070" s="74">
        <v>24.647493693186437</v>
      </c>
      <c r="K1070" s="74">
        <v>17.70593664825892</v>
      </c>
      <c r="L1070" s="74">
        <v>0</v>
      </c>
      <c r="M1070" s="74">
        <v>2.1940137588479049</v>
      </c>
      <c r="N1070" s="74">
        <v>0</v>
      </c>
    </row>
    <row r="1071" spans="1:14" x14ac:dyDescent="0.25">
      <c r="A1071" t="e">
        <f>VLOOKUP(VALUE(RIGHT(B1071,4)),'Waste Lookups'!$B$1:$C$295,2,FALSE)</f>
        <v>#N/A</v>
      </c>
      <c r="B1071" s="74" t="s">
        <v>2870</v>
      </c>
      <c r="C1071" s="74" t="s">
        <v>2871</v>
      </c>
      <c r="D1071" s="74">
        <v>0</v>
      </c>
      <c r="E1071" s="74">
        <v>1.1339999999999999</v>
      </c>
      <c r="F1071" s="74">
        <v>0</v>
      </c>
      <c r="G1071" s="74">
        <v>1.4552999999999998</v>
      </c>
      <c r="H1071" s="74">
        <v>0</v>
      </c>
      <c r="I1071" s="74"/>
      <c r="J1071" s="74">
        <v>0</v>
      </c>
      <c r="K1071" s="74">
        <v>0.6402395209580839</v>
      </c>
      <c r="L1071" s="74">
        <v>0</v>
      </c>
      <c r="M1071" s="74">
        <v>0.82164071856287413</v>
      </c>
      <c r="N1071" s="74">
        <v>0</v>
      </c>
    </row>
    <row r="1072" spans="1:14" x14ac:dyDescent="0.25">
      <c r="A1072" t="str">
        <f>VLOOKUP(VALUE(RIGHT(B1072,4)),'Waste Lookups'!$B$1:$C$295,2,FALSE)</f>
        <v>Phoenix House (Main Block)</v>
      </c>
      <c r="B1072" s="74" t="s">
        <v>675</v>
      </c>
      <c r="C1072" s="74" t="s">
        <v>2872</v>
      </c>
      <c r="D1072" s="74">
        <v>0.34975757575757577</v>
      </c>
      <c r="E1072" s="74">
        <v>0</v>
      </c>
      <c r="F1072" s="74">
        <v>0</v>
      </c>
      <c r="G1072" s="74">
        <v>0</v>
      </c>
      <c r="H1072" s="74">
        <v>0</v>
      </c>
      <c r="I1072" s="74"/>
      <c r="J1072" s="74">
        <v>15.011444444444445</v>
      </c>
      <c r="K1072" s="74">
        <v>0</v>
      </c>
      <c r="L1072" s="74">
        <v>0</v>
      </c>
      <c r="M1072" s="74">
        <v>0</v>
      </c>
      <c r="N1072" s="74">
        <v>0</v>
      </c>
    </row>
    <row r="1073" spans="1:14" x14ac:dyDescent="0.25">
      <c r="A1073" t="e">
        <f>VLOOKUP(VALUE(RIGHT(B1073,4)),'Waste Lookups'!$B$1:$C$295,2,FALSE)</f>
        <v>#N/A</v>
      </c>
      <c r="B1073" s="74" t="s">
        <v>2873</v>
      </c>
      <c r="C1073" s="74" t="s">
        <v>2874</v>
      </c>
      <c r="D1073" s="74">
        <v>0</v>
      </c>
      <c r="E1073" s="74">
        <v>8.4654000000000007</v>
      </c>
      <c r="F1073" s="74">
        <v>0</v>
      </c>
      <c r="G1073" s="74">
        <v>1.2434400000000001</v>
      </c>
      <c r="H1073" s="74">
        <v>0</v>
      </c>
      <c r="I1073" s="74"/>
      <c r="J1073" s="74">
        <v>0</v>
      </c>
      <c r="K1073" s="74">
        <v>23.896113442991233</v>
      </c>
      <c r="L1073" s="74">
        <v>0</v>
      </c>
      <c r="M1073" s="74">
        <v>3.5099798355131493</v>
      </c>
      <c r="N1073" s="74">
        <v>0</v>
      </c>
    </row>
    <row r="1074" spans="1:14" x14ac:dyDescent="0.25">
      <c r="A1074" t="e">
        <f>VLOOKUP(VALUE(RIGHT(B1074,4)),'Waste Lookups'!$B$1:$C$295,2,FALSE)</f>
        <v>#N/A</v>
      </c>
      <c r="B1074" s="74" t="s">
        <v>2875</v>
      </c>
      <c r="C1074" s="74" t="s">
        <v>2876</v>
      </c>
      <c r="D1074" s="74">
        <v>0</v>
      </c>
      <c r="E1074" s="74">
        <v>3.7616400000000003</v>
      </c>
      <c r="F1074" s="74">
        <v>0</v>
      </c>
      <c r="G1074" s="74">
        <v>0.31086000000000003</v>
      </c>
      <c r="H1074" s="74">
        <v>0</v>
      </c>
      <c r="I1074" s="74"/>
      <c r="J1074" s="74">
        <v>0</v>
      </c>
      <c r="K1074" s="74">
        <v>5.2509163129648666</v>
      </c>
      <c r="L1074" s="74">
        <v>0</v>
      </c>
      <c r="M1074" s="74">
        <v>0.43393303055269994</v>
      </c>
      <c r="N1074" s="74">
        <v>0</v>
      </c>
    </row>
    <row r="1075" spans="1:14" x14ac:dyDescent="0.25">
      <c r="A1075" t="e">
        <f>VLOOKUP(VALUE(RIGHT(B1075,4)),'Waste Lookups'!$B$1:$C$295,2,FALSE)</f>
        <v>#N/A</v>
      </c>
      <c r="B1075" s="74" t="s">
        <v>2877</v>
      </c>
      <c r="C1075" s="74" t="s">
        <v>2878</v>
      </c>
      <c r="D1075" s="74">
        <v>1.0303030303030303E-3</v>
      </c>
      <c r="E1075" s="74">
        <v>12.41352</v>
      </c>
      <c r="F1075" s="74">
        <v>0</v>
      </c>
      <c r="G1075" s="74">
        <v>2.4868800000000002</v>
      </c>
      <c r="H1075" s="74">
        <v>0</v>
      </c>
      <c r="I1075" s="74"/>
      <c r="J1075" s="74">
        <v>2.0543895326529046E-3</v>
      </c>
      <c r="K1075" s="74">
        <v>24.75214068221932</v>
      </c>
      <c r="L1075" s="74">
        <v>0</v>
      </c>
      <c r="M1075" s="74">
        <v>4.9587549397590358</v>
      </c>
      <c r="N1075" s="74">
        <v>0</v>
      </c>
    </row>
    <row r="1076" spans="1:14" x14ac:dyDescent="0.25">
      <c r="A1076" t="e">
        <f>VLOOKUP(VALUE(RIGHT(B1076,4)),'Waste Lookups'!$B$1:$C$295,2,FALSE)</f>
        <v>#N/A</v>
      </c>
      <c r="B1076" s="74" t="s">
        <v>2879</v>
      </c>
      <c r="C1076" s="74" t="s">
        <v>2880</v>
      </c>
      <c r="D1076" s="74">
        <v>4.9374242424242434</v>
      </c>
      <c r="E1076" s="74">
        <v>6.1419600000000001</v>
      </c>
      <c r="F1076" s="74">
        <v>0</v>
      </c>
      <c r="G1076" s="74">
        <v>1.2434400000000001</v>
      </c>
      <c r="H1076" s="74">
        <v>0</v>
      </c>
      <c r="I1076" s="74"/>
      <c r="J1076" s="74">
        <v>4.6180266091121496</v>
      </c>
      <c r="K1076" s="74">
        <v>5.7446420075452229</v>
      </c>
      <c r="L1076" s="74">
        <v>0</v>
      </c>
      <c r="M1076" s="74">
        <v>1.1630029596190845</v>
      </c>
      <c r="N1076" s="74">
        <v>0</v>
      </c>
    </row>
    <row r="1077" spans="1:14" x14ac:dyDescent="0.25">
      <c r="A1077" t="e">
        <f>VLOOKUP(VALUE(RIGHT(B1077,4)),'Waste Lookups'!$B$1:$C$295,2,FALSE)</f>
        <v>#N/A</v>
      </c>
      <c r="B1077" s="74" t="s">
        <v>2881</v>
      </c>
      <c r="C1077" s="74" t="s">
        <v>2882</v>
      </c>
      <c r="D1077" s="74">
        <v>0</v>
      </c>
      <c r="E1077" s="74">
        <v>6.8820599999999992</v>
      </c>
      <c r="F1077" s="74">
        <v>0</v>
      </c>
      <c r="G1077" s="74">
        <v>1.2434400000000001</v>
      </c>
      <c r="H1077" s="74">
        <v>0</v>
      </c>
      <c r="I1077" s="74"/>
      <c r="J1077" s="74">
        <v>0</v>
      </c>
      <c r="K1077" s="74">
        <v>20.741846722612571</v>
      </c>
      <c r="L1077" s="74">
        <v>0</v>
      </c>
      <c r="M1077" s="74">
        <v>3.7476049160811407</v>
      </c>
      <c r="N1077" s="74">
        <v>0</v>
      </c>
    </row>
    <row r="1078" spans="1:14" x14ac:dyDescent="0.25">
      <c r="A1078" t="e">
        <f>VLOOKUP(VALUE(RIGHT(B1078,4)),'Waste Lookups'!$B$1:$C$295,2,FALSE)</f>
        <v>#N/A</v>
      </c>
      <c r="B1078" s="74" t="s">
        <v>2883</v>
      </c>
      <c r="C1078" s="74" t="s">
        <v>2884</v>
      </c>
      <c r="D1078" s="74">
        <v>0</v>
      </c>
      <c r="E1078" s="74">
        <v>4.6172399999999998</v>
      </c>
      <c r="F1078" s="74">
        <v>0</v>
      </c>
      <c r="G1078" s="74">
        <v>0.31086000000000003</v>
      </c>
      <c r="H1078" s="74">
        <v>0</v>
      </c>
      <c r="I1078" s="74"/>
      <c r="J1078" s="74">
        <v>0</v>
      </c>
      <c r="K1078" s="74">
        <v>8.2234921354840314</v>
      </c>
      <c r="L1078" s="74">
        <v>0</v>
      </c>
      <c r="M1078" s="74">
        <v>0.55365429677395284</v>
      </c>
      <c r="N1078" s="74">
        <v>0</v>
      </c>
    </row>
    <row r="1079" spans="1:14" x14ac:dyDescent="0.25">
      <c r="A1079" t="e">
        <f>VLOOKUP(VALUE(RIGHT(B1079,4)),'Waste Lookups'!$B$1:$C$295,2,FALSE)</f>
        <v>#N/A</v>
      </c>
      <c r="B1079" s="74" t="s">
        <v>2885</v>
      </c>
      <c r="C1079" s="74" t="s">
        <v>2886</v>
      </c>
      <c r="D1079" s="74">
        <v>9.2736666666666654</v>
      </c>
      <c r="E1079" s="74">
        <v>4.6172399999999998</v>
      </c>
      <c r="F1079" s="74">
        <v>0</v>
      </c>
      <c r="G1079" s="74">
        <v>0.31086000000000003</v>
      </c>
      <c r="H1079" s="74">
        <v>0</v>
      </c>
      <c r="I1079" s="74"/>
      <c r="J1079" s="74">
        <v>8.8759479496692162</v>
      </c>
      <c r="K1079" s="74">
        <v>4.4192209386216197</v>
      </c>
      <c r="L1079" s="74">
        <v>0</v>
      </c>
      <c r="M1079" s="74">
        <v>0.29752818154999888</v>
      </c>
      <c r="N1079" s="74">
        <v>0</v>
      </c>
    </row>
    <row r="1080" spans="1:14" x14ac:dyDescent="0.25">
      <c r="A1080" t="e">
        <f>VLOOKUP(VALUE(RIGHT(B1080,4)),'Waste Lookups'!$B$1:$C$295,2,FALSE)</f>
        <v>#N/A</v>
      </c>
      <c r="B1080" s="74" t="s">
        <v>2887</v>
      </c>
      <c r="C1080" s="74" t="s">
        <v>2888</v>
      </c>
      <c r="D1080" s="74">
        <v>11.842121212121212</v>
      </c>
      <c r="E1080" s="74">
        <v>10.167179999999998</v>
      </c>
      <c r="F1080" s="74">
        <v>0</v>
      </c>
      <c r="G1080" s="74">
        <v>1.5542999999999998</v>
      </c>
      <c r="H1080" s="74">
        <v>0</v>
      </c>
      <c r="I1080" s="74"/>
      <c r="J1080" s="74">
        <v>9.3122653213001261</v>
      </c>
      <c r="K1080" s="74">
        <v>7.995145129278475</v>
      </c>
      <c r="L1080" s="74">
        <v>0</v>
      </c>
      <c r="M1080" s="74">
        <v>1.2222518018209112</v>
      </c>
      <c r="N1080" s="74">
        <v>0</v>
      </c>
    </row>
    <row r="1081" spans="1:14" x14ac:dyDescent="0.25">
      <c r="A1081" t="e">
        <f>VLOOKUP(VALUE(RIGHT(B1081,4)),'Waste Lookups'!$B$1:$C$295,2,FALSE)</f>
        <v>#N/A</v>
      </c>
      <c r="B1081" s="74" t="s">
        <v>2889</v>
      </c>
      <c r="C1081" s="74" t="s">
        <v>2890</v>
      </c>
      <c r="D1081" s="74">
        <v>15.217666666666666</v>
      </c>
      <c r="E1081" s="74">
        <v>3.98088</v>
      </c>
      <c r="F1081" s="74">
        <v>0</v>
      </c>
      <c r="G1081" s="74">
        <v>0.31086000000000003</v>
      </c>
      <c r="H1081" s="74">
        <v>0</v>
      </c>
      <c r="I1081" s="74"/>
      <c r="J1081" s="74">
        <v>12.853412449627175</v>
      </c>
      <c r="K1081" s="74">
        <v>3.3624006671503626</v>
      </c>
      <c r="L1081" s="74">
        <v>0</v>
      </c>
      <c r="M1081" s="74">
        <v>0.26256402388174516</v>
      </c>
      <c r="N1081" s="74">
        <v>0</v>
      </c>
    </row>
    <row r="1082" spans="1:14" x14ac:dyDescent="0.25">
      <c r="A1082" t="e">
        <f>VLOOKUP(VALUE(RIGHT(B1082,4)),'Waste Lookups'!$B$1:$C$295,2,FALSE)</f>
        <v>#N/A</v>
      </c>
      <c r="B1082" s="74" t="s">
        <v>2891</v>
      </c>
      <c r="C1082" s="74" t="s">
        <v>2892</v>
      </c>
      <c r="D1082" s="74">
        <v>14.66730303030303</v>
      </c>
      <c r="E1082" s="74">
        <v>6.2741399999999992</v>
      </c>
      <c r="F1082" s="74">
        <v>0</v>
      </c>
      <c r="G1082" s="74">
        <v>0</v>
      </c>
      <c r="H1082" s="74">
        <v>0</v>
      </c>
      <c r="I1082" s="74"/>
      <c r="J1082" s="74">
        <v>14.261634070830288</v>
      </c>
      <c r="K1082" s="74">
        <v>6.1006095397560278</v>
      </c>
      <c r="L1082" s="74">
        <v>0</v>
      </c>
      <c r="M1082" s="74">
        <v>0</v>
      </c>
      <c r="N1082" s="74">
        <v>0</v>
      </c>
    </row>
    <row r="1083" spans="1:14" x14ac:dyDescent="0.25">
      <c r="A1083" t="e">
        <f>VLOOKUP(VALUE(RIGHT(B1083,4)),'Waste Lookups'!$B$1:$C$295,2,FALSE)</f>
        <v>#N/A</v>
      </c>
      <c r="B1083" s="74" t="s">
        <v>2893</v>
      </c>
      <c r="C1083" s="74" t="s">
        <v>2894</v>
      </c>
      <c r="D1083" s="74">
        <v>29.487666666666669</v>
      </c>
      <c r="E1083" s="74">
        <v>6.8639999999999999</v>
      </c>
      <c r="F1083" s="74">
        <v>0</v>
      </c>
      <c r="G1083" s="74">
        <v>0</v>
      </c>
      <c r="H1083" s="74">
        <v>0</v>
      </c>
      <c r="I1083" s="74"/>
      <c r="J1083" s="74">
        <v>18.328716107138163</v>
      </c>
      <c r="K1083" s="74">
        <v>4.2664721078664414</v>
      </c>
      <c r="L1083" s="74">
        <v>0</v>
      </c>
      <c r="M1083" s="74">
        <v>0</v>
      </c>
      <c r="N1083" s="74">
        <v>0</v>
      </c>
    </row>
    <row r="1084" spans="1:14" x14ac:dyDescent="0.25">
      <c r="A1084" t="e">
        <f>VLOOKUP(VALUE(RIGHT(B1084,4)),'Waste Lookups'!$B$1:$C$295,2,FALSE)</f>
        <v>#N/A</v>
      </c>
      <c r="B1084" s="74" t="s">
        <v>2895</v>
      </c>
      <c r="C1084" s="74" t="s">
        <v>2896</v>
      </c>
      <c r="D1084" s="74">
        <v>0</v>
      </c>
      <c r="E1084" s="74">
        <v>0</v>
      </c>
      <c r="F1084" s="74">
        <v>0</v>
      </c>
      <c r="G1084" s="74">
        <v>0</v>
      </c>
      <c r="H1084" s="74">
        <v>0.71824886610136063</v>
      </c>
      <c r="I1084" s="74"/>
      <c r="J1084" s="74">
        <v>0</v>
      </c>
      <c r="K1084" s="74">
        <v>0</v>
      </c>
      <c r="L1084" s="74">
        <v>0</v>
      </c>
      <c r="M1084" s="74">
        <v>0</v>
      </c>
      <c r="N1084" s="74">
        <v>0</v>
      </c>
    </row>
    <row r="1085" spans="1:14" x14ac:dyDescent="0.25">
      <c r="A1085" t="e">
        <f>VLOOKUP(VALUE(RIGHT(B1085,4)),'Waste Lookups'!$B$1:$C$295,2,FALSE)</f>
        <v>#N/A</v>
      </c>
      <c r="B1085" s="74" t="s">
        <v>2897</v>
      </c>
      <c r="C1085" s="74" t="s">
        <v>2898</v>
      </c>
      <c r="D1085" s="74">
        <v>1.2209090909090909</v>
      </c>
      <c r="E1085" s="74">
        <v>7.0380000000000003</v>
      </c>
      <c r="F1085" s="74">
        <v>0</v>
      </c>
      <c r="G1085" s="74">
        <v>6.4203299999999999</v>
      </c>
      <c r="H1085" s="74">
        <v>1.1922224413330704</v>
      </c>
      <c r="I1085" s="74"/>
      <c r="J1085" s="74">
        <v>1.4285810438540618</v>
      </c>
      <c r="K1085" s="74">
        <v>8.2351368021663269</v>
      </c>
      <c r="L1085" s="74">
        <v>0</v>
      </c>
      <c r="M1085" s="74">
        <v>7.5124035045542108</v>
      </c>
      <c r="N1085" s="74">
        <v>1.3950149052274159</v>
      </c>
    </row>
    <row r="1086" spans="1:14" x14ac:dyDescent="0.25">
      <c r="A1086" t="str">
        <f>VLOOKUP(VALUE(RIGHT(B1086,4)),'Waste Lookups'!$B$1:$C$295,2,FALSE)</f>
        <v>Collingwood Road</v>
      </c>
      <c r="B1086" s="74" t="s">
        <v>673</v>
      </c>
      <c r="C1086" s="74" t="s">
        <v>2899</v>
      </c>
      <c r="D1086" s="74">
        <v>0</v>
      </c>
      <c r="E1086" s="74">
        <v>37.994939999999993</v>
      </c>
      <c r="F1086" s="74">
        <v>0</v>
      </c>
      <c r="G1086" s="74">
        <v>0</v>
      </c>
      <c r="H1086" s="74">
        <v>2.33099585880497</v>
      </c>
      <c r="I1086" s="74"/>
      <c r="J1086" s="74">
        <v>0</v>
      </c>
      <c r="K1086" s="74">
        <v>32.351356907002568</v>
      </c>
      <c r="L1086" s="74">
        <v>0</v>
      </c>
      <c r="M1086" s="74">
        <v>0</v>
      </c>
      <c r="N1086" s="74">
        <v>1.9847611017926214</v>
      </c>
    </row>
    <row r="1087" spans="1:14" x14ac:dyDescent="0.25">
      <c r="A1087" t="e">
        <f>VLOOKUP(VALUE(RIGHT(B1087,4)),'Waste Lookups'!$B$1:$C$295,2,FALSE)</f>
        <v>#N/A</v>
      </c>
      <c r="B1087" s="74" t="s">
        <v>2900</v>
      </c>
      <c r="C1087" s="74" t="s">
        <v>2901</v>
      </c>
      <c r="D1087" s="74">
        <v>0.36806060606060609</v>
      </c>
      <c r="E1087" s="74">
        <v>1.5615599999999998</v>
      </c>
      <c r="F1087" s="74">
        <v>0</v>
      </c>
      <c r="G1087" s="74">
        <v>0</v>
      </c>
      <c r="H1087" s="74">
        <v>0.84811674225990918</v>
      </c>
      <c r="I1087" s="74"/>
      <c r="J1087" s="74">
        <v>0.65747080747867725</v>
      </c>
      <c r="K1087" s="74">
        <v>2.7894322218155199</v>
      </c>
      <c r="L1087" s="74">
        <v>0</v>
      </c>
      <c r="M1087" s="74">
        <v>0</v>
      </c>
      <c r="N1087" s="74">
        <v>1.5150004922775937</v>
      </c>
    </row>
    <row r="1088" spans="1:14" x14ac:dyDescent="0.25">
      <c r="A1088" t="e">
        <f>VLOOKUP(VALUE(RIGHT(B1088,4)),'Waste Lookups'!$B$1:$C$295,2,FALSE)</f>
        <v>#N/A</v>
      </c>
      <c r="B1088" s="74" t="s">
        <v>2902</v>
      </c>
      <c r="C1088" s="74" t="s">
        <v>2903</v>
      </c>
      <c r="D1088" s="74">
        <v>6.9303030303030311E-2</v>
      </c>
      <c r="E1088" s="74">
        <v>0</v>
      </c>
      <c r="F1088" s="74">
        <v>0</v>
      </c>
      <c r="G1088" s="74">
        <v>0</v>
      </c>
      <c r="H1088" s="74">
        <v>1.8128495365805557</v>
      </c>
      <c r="I1088" s="74"/>
      <c r="J1088" s="74">
        <v>8.9355594279163897E-2</v>
      </c>
      <c r="K1088" s="74">
        <v>0</v>
      </c>
      <c r="L1088" s="74">
        <v>0</v>
      </c>
      <c r="M1088" s="74">
        <v>0</v>
      </c>
      <c r="N1088" s="74">
        <v>2.3373905436971842</v>
      </c>
    </row>
    <row r="1089" spans="1:14" x14ac:dyDescent="0.25">
      <c r="A1089" t="e">
        <f>VLOOKUP(VALUE(RIGHT(B1089,4)),'Waste Lookups'!$B$1:$C$295,2,FALSE)</f>
        <v>#N/A</v>
      </c>
      <c r="B1089" s="74" t="s">
        <v>2904</v>
      </c>
      <c r="C1089" s="74" t="s">
        <v>2905</v>
      </c>
      <c r="D1089" s="74">
        <v>10.438515151515151</v>
      </c>
      <c r="E1089" s="74">
        <v>13.128</v>
      </c>
      <c r="F1089" s="74">
        <v>0</v>
      </c>
      <c r="G1089" s="74">
        <v>0</v>
      </c>
      <c r="H1089" s="74">
        <v>10.01369670676395</v>
      </c>
      <c r="I1089" s="74"/>
      <c r="J1089" s="74">
        <v>4.774926016307333</v>
      </c>
      <c r="K1089" s="74">
        <v>6.0051863538258043</v>
      </c>
      <c r="L1089" s="74">
        <v>0</v>
      </c>
      <c r="M1089" s="74">
        <v>0</v>
      </c>
      <c r="N1089" s="74">
        <v>4.5805998487819366</v>
      </c>
    </row>
    <row r="1090" spans="1:14" x14ac:dyDescent="0.25">
      <c r="A1090" t="e">
        <f>VLOOKUP(VALUE(RIGHT(B1090,4)),'Waste Lookups'!$B$1:$C$295,2,FALSE)</f>
        <v>#N/A</v>
      </c>
      <c r="B1090" s="74" t="s">
        <v>2906</v>
      </c>
      <c r="C1090" s="74" t="s">
        <v>2907</v>
      </c>
      <c r="D1090" s="74">
        <v>7.2733939393939391</v>
      </c>
      <c r="E1090" s="74">
        <v>3.1675799999999996</v>
      </c>
      <c r="F1090" s="74">
        <v>0</v>
      </c>
      <c r="G1090" s="74">
        <v>0</v>
      </c>
      <c r="H1090" s="74">
        <v>3.2541179254584893</v>
      </c>
      <c r="I1090" s="74"/>
      <c r="J1090" s="74">
        <v>8.5184655553221056</v>
      </c>
      <c r="K1090" s="74">
        <v>3.7098115884502141</v>
      </c>
      <c r="L1090" s="74">
        <v>0</v>
      </c>
      <c r="M1090" s="74">
        <v>0</v>
      </c>
      <c r="N1090" s="74">
        <v>3.811163219255544</v>
      </c>
    </row>
    <row r="1091" spans="1:14" x14ac:dyDescent="0.25">
      <c r="A1091" t="e">
        <f>VLOOKUP(VALUE(RIGHT(B1091,4)),'Waste Lookups'!$B$1:$C$295,2,FALSE)</f>
        <v>#N/A</v>
      </c>
      <c r="B1091" s="74" t="s">
        <v>2908</v>
      </c>
      <c r="C1091" s="74" t="s">
        <v>2909</v>
      </c>
      <c r="D1091" s="74">
        <v>0.22757575757575757</v>
      </c>
      <c r="E1091" s="74">
        <v>5.0484</v>
      </c>
      <c r="F1091" s="74">
        <v>0</v>
      </c>
      <c r="G1091" s="74">
        <v>0</v>
      </c>
      <c r="H1091" s="74">
        <v>1.4025730625123249</v>
      </c>
      <c r="I1091" s="74"/>
      <c r="J1091" s="74">
        <v>0.22551611355119405</v>
      </c>
      <c r="K1091" s="74">
        <v>5.0027101294954708</v>
      </c>
      <c r="L1091" s="74">
        <v>0</v>
      </c>
      <c r="M1091" s="74">
        <v>0</v>
      </c>
      <c r="N1091" s="74">
        <v>1.3898792621796789</v>
      </c>
    </row>
    <row r="1092" spans="1:14" x14ac:dyDescent="0.25">
      <c r="A1092" t="e">
        <f>VLOOKUP(VALUE(RIGHT(B1092,4)),'Waste Lookups'!$B$1:$C$295,2,FALSE)</f>
        <v>#N/A</v>
      </c>
      <c r="B1092" s="74" t="s">
        <v>2910</v>
      </c>
      <c r="C1092" s="74" t="s">
        <v>2911</v>
      </c>
      <c r="D1092" s="74">
        <v>1.1529393939393942</v>
      </c>
      <c r="E1092" s="74">
        <v>4.1496000000000004</v>
      </c>
      <c r="F1092" s="74">
        <v>0</v>
      </c>
      <c r="G1092" s="74">
        <v>0.60839999999999983</v>
      </c>
      <c r="H1092" s="74">
        <v>1.8700974166830999</v>
      </c>
      <c r="I1092" s="74"/>
      <c r="J1092" s="74">
        <v>1.192614107072659</v>
      </c>
      <c r="K1092" s="74">
        <v>4.2923951811545527</v>
      </c>
      <c r="L1092" s="74">
        <v>0</v>
      </c>
      <c r="M1092" s="74">
        <v>0.62933613558281021</v>
      </c>
      <c r="N1092" s="74">
        <v>1.9344508240939162</v>
      </c>
    </row>
    <row r="1093" spans="1:14" x14ac:dyDescent="0.25">
      <c r="A1093" t="e">
        <f>VLOOKUP(VALUE(RIGHT(B1093,4)),'Waste Lookups'!$B$1:$C$295,2,FALSE)</f>
        <v>#N/A</v>
      </c>
      <c r="B1093" s="74" t="s">
        <v>2912</v>
      </c>
      <c r="C1093" s="74" t="s">
        <v>2913</v>
      </c>
      <c r="D1093" s="74">
        <v>0.21757575757575759</v>
      </c>
      <c r="E1093" s="74">
        <v>7.0886400000000007</v>
      </c>
      <c r="F1093" s="74">
        <v>0</v>
      </c>
      <c r="G1093" s="74">
        <v>0</v>
      </c>
      <c r="H1093" s="74">
        <v>2.352773023072372</v>
      </c>
      <c r="I1093" s="74"/>
      <c r="J1093" s="74">
        <v>0.36443028701230584</v>
      </c>
      <c r="K1093" s="74">
        <v>11.873175295402241</v>
      </c>
      <c r="L1093" s="74">
        <v>0</v>
      </c>
      <c r="M1093" s="74">
        <v>0</v>
      </c>
      <c r="N1093" s="74">
        <v>3.9407963351548023</v>
      </c>
    </row>
    <row r="1094" spans="1:14" x14ac:dyDescent="0.25">
      <c r="A1094" t="e">
        <f>VLOOKUP(VALUE(RIGHT(B1094,4)),'Waste Lookups'!$B$1:$C$295,2,FALSE)</f>
        <v>#N/A</v>
      </c>
      <c r="B1094" s="74" t="s">
        <v>2914</v>
      </c>
      <c r="C1094" s="74" t="s">
        <v>2915</v>
      </c>
      <c r="D1094" s="74">
        <v>1.8857575757575757</v>
      </c>
      <c r="E1094" s="74">
        <v>4.8983999999999996</v>
      </c>
      <c r="F1094" s="74">
        <v>0</v>
      </c>
      <c r="G1094" s="74">
        <v>0.71387999999999985</v>
      </c>
      <c r="H1094" s="74">
        <v>0.93504870834154996</v>
      </c>
      <c r="I1094" s="74"/>
      <c r="J1094" s="74">
        <v>2.8009556185080258</v>
      </c>
      <c r="K1094" s="74">
        <v>7.2756971405446018</v>
      </c>
      <c r="L1094" s="74">
        <v>0</v>
      </c>
      <c r="M1094" s="74">
        <v>1.0603410653870611</v>
      </c>
      <c r="N1094" s="74">
        <v>1.3888476264801852</v>
      </c>
    </row>
    <row r="1095" spans="1:14" x14ac:dyDescent="0.25">
      <c r="A1095" t="e">
        <f>VLOOKUP(VALUE(RIGHT(B1095,4)),'Waste Lookups'!$B$1:$C$295,2,FALSE)</f>
        <v>#N/A</v>
      </c>
      <c r="B1095" s="74" t="s">
        <v>2916</v>
      </c>
      <c r="C1095" s="74" t="s">
        <v>2917</v>
      </c>
      <c r="D1095" s="74">
        <v>1.4251515151515155</v>
      </c>
      <c r="E1095" s="74">
        <v>6.1963200000000009</v>
      </c>
      <c r="F1095" s="74">
        <v>0</v>
      </c>
      <c r="G1095" s="74">
        <v>0</v>
      </c>
      <c r="H1095" s="74">
        <v>1.4025730625123249</v>
      </c>
      <c r="I1095" s="74"/>
      <c r="J1095" s="74">
        <v>1.6395771126515577</v>
      </c>
      <c r="K1095" s="74">
        <v>7.1286065703582455</v>
      </c>
      <c r="L1095" s="74">
        <v>0</v>
      </c>
      <c r="M1095" s="74">
        <v>0</v>
      </c>
      <c r="N1095" s="74">
        <v>1.6136015487955504</v>
      </c>
    </row>
    <row r="1096" spans="1:14" x14ac:dyDescent="0.25">
      <c r="A1096" t="e">
        <f>VLOOKUP(VALUE(RIGHT(B1096,4)),'Waste Lookups'!$B$1:$C$295,2,FALSE)</f>
        <v>#N/A</v>
      </c>
      <c r="B1096" s="74" t="s">
        <v>2918</v>
      </c>
      <c r="C1096" s="74" t="s">
        <v>2919</v>
      </c>
      <c r="D1096" s="74">
        <v>1.0316969696969698</v>
      </c>
      <c r="E1096" s="74">
        <v>0</v>
      </c>
      <c r="F1096" s="74">
        <v>0</v>
      </c>
      <c r="G1096" s="74">
        <v>0</v>
      </c>
      <c r="H1096" s="74">
        <v>0</v>
      </c>
      <c r="I1096" s="74"/>
      <c r="J1096" s="74">
        <v>4.9705000000000013</v>
      </c>
      <c r="K1096" s="74">
        <v>0</v>
      </c>
      <c r="L1096" s="74">
        <v>0</v>
      </c>
      <c r="M1096" s="74">
        <v>0</v>
      </c>
      <c r="N1096" s="74">
        <v>0</v>
      </c>
    </row>
    <row r="1097" spans="1:14" x14ac:dyDescent="0.25">
      <c r="A1097" t="str">
        <f>VLOOKUP(VALUE(RIGHT(B1097,4)),'Waste Lookups'!$B$1:$C$295,2,FALSE)</f>
        <v>Swift House</v>
      </c>
      <c r="B1097" s="74" t="s">
        <v>674</v>
      </c>
      <c r="C1097" s="74" t="s">
        <v>2920</v>
      </c>
      <c r="D1097" s="74">
        <v>0</v>
      </c>
      <c r="E1097" s="74">
        <v>18.105360000000001</v>
      </c>
      <c r="F1097" s="74">
        <v>0</v>
      </c>
      <c r="G1097" s="74">
        <v>5.8783499999999993</v>
      </c>
      <c r="H1097" s="74">
        <v>3.0638217314139218</v>
      </c>
      <c r="I1097" s="74"/>
      <c r="J1097" s="74">
        <v>0</v>
      </c>
      <c r="K1097" s="74">
        <v>20.305408774353793</v>
      </c>
      <c r="L1097" s="74">
        <v>0</v>
      </c>
      <c r="M1097" s="74">
        <v>6.5926498931102513</v>
      </c>
      <c r="N1097" s="74">
        <v>3.4361179599913001</v>
      </c>
    </row>
    <row r="1098" spans="1:14" x14ac:dyDescent="0.25">
      <c r="A1098" t="e">
        <f>VLOOKUP(VALUE(RIGHT(B1098,4)),'Waste Lookups'!$B$1:$C$295,2,FALSE)</f>
        <v>#N/A</v>
      </c>
      <c r="B1098" s="74" t="s">
        <v>2921</v>
      </c>
      <c r="C1098" s="74" t="s">
        <v>2922</v>
      </c>
      <c r="D1098" s="74">
        <v>5.0926363636363643</v>
      </c>
      <c r="E1098" s="74">
        <v>4.4640000000000004</v>
      </c>
      <c r="F1098" s="74">
        <v>0</v>
      </c>
      <c r="G1098" s="74">
        <v>1.8014399999999999</v>
      </c>
      <c r="H1098" s="74">
        <v>1.9681609150069022</v>
      </c>
      <c r="I1098" s="74"/>
      <c r="J1098" s="74">
        <v>3.0903176711320435</v>
      </c>
      <c r="K1098" s="74">
        <v>2.7088480501841845</v>
      </c>
      <c r="L1098" s="74">
        <v>0</v>
      </c>
      <c r="M1098" s="74">
        <v>1.0931512615420693</v>
      </c>
      <c r="N1098" s="74">
        <v>1.1943209805253512</v>
      </c>
    </row>
    <row r="1099" spans="1:14" x14ac:dyDescent="0.25">
      <c r="A1099" t="e">
        <f>VLOOKUP(VALUE(RIGHT(B1099,4)),'Waste Lookups'!$B$1:$C$295,2,FALSE)</f>
        <v>#N/A</v>
      </c>
      <c r="B1099" s="74" t="s">
        <v>2923</v>
      </c>
      <c r="C1099" s="74" t="s">
        <v>2924</v>
      </c>
      <c r="D1099" s="74">
        <v>10.106363636363636</v>
      </c>
      <c r="E1099" s="74">
        <v>6.7320000000000002</v>
      </c>
      <c r="F1099" s="74">
        <v>0</v>
      </c>
      <c r="G1099" s="74">
        <v>1.0139400000000001</v>
      </c>
      <c r="H1099" s="74">
        <v>1.921514494182607</v>
      </c>
      <c r="I1099" s="74"/>
      <c r="J1099" s="74">
        <v>15.235833143514038</v>
      </c>
      <c r="K1099" s="74">
        <v>10.148816370814984</v>
      </c>
      <c r="L1099" s="74">
        <v>0</v>
      </c>
      <c r="M1099" s="74">
        <v>1.5285637063315725</v>
      </c>
      <c r="N1099" s="74">
        <v>2.8967762559891139</v>
      </c>
    </row>
    <row r="1100" spans="1:14" x14ac:dyDescent="0.25">
      <c r="A1100" t="e">
        <f>VLOOKUP(VALUE(RIGHT(B1100,4)),'Waste Lookups'!$B$1:$C$295,2,FALSE)</f>
        <v>#N/A</v>
      </c>
      <c r="B1100" s="74" t="s">
        <v>2925</v>
      </c>
      <c r="C1100" s="74" t="s">
        <v>2926</v>
      </c>
      <c r="D1100" s="74">
        <v>0</v>
      </c>
      <c r="E1100" s="74">
        <v>8.1543600000000005</v>
      </c>
      <c r="F1100" s="74">
        <v>0</v>
      </c>
      <c r="G1100" s="74">
        <v>1.7658</v>
      </c>
      <c r="H1100" s="74">
        <v>9.9903293236048114</v>
      </c>
      <c r="I1100" s="74"/>
      <c r="J1100" s="74">
        <v>0</v>
      </c>
      <c r="K1100" s="74">
        <v>8.3002727914202818</v>
      </c>
      <c r="L1100" s="74">
        <v>0</v>
      </c>
      <c r="M1100" s="74">
        <v>1.7973969379681467</v>
      </c>
      <c r="N1100" s="74">
        <v>10.169094651455815</v>
      </c>
    </row>
    <row r="1101" spans="1:14" x14ac:dyDescent="0.25">
      <c r="A1101" t="e">
        <f>VLOOKUP(VALUE(RIGHT(B1101,4)),'Waste Lookups'!$B$1:$C$295,2,FALSE)</f>
        <v>#N/A</v>
      </c>
      <c r="B1101" s="74" t="s">
        <v>2927</v>
      </c>
      <c r="C1101" s="74" t="s">
        <v>2928</v>
      </c>
      <c r="D1101" s="74">
        <v>1.7030303030303031E-2</v>
      </c>
      <c r="E1101" s="74">
        <v>0.59795999999999994</v>
      </c>
      <c r="F1101" s="74">
        <v>0</v>
      </c>
      <c r="G1101" s="74">
        <v>0</v>
      </c>
      <c r="H1101" s="74">
        <v>0</v>
      </c>
      <c r="I1101" s="74"/>
      <c r="J1101" s="74">
        <v>2.0403579871664979E-3</v>
      </c>
      <c r="K1101" s="74">
        <v>7.1640091185410343E-2</v>
      </c>
      <c r="L1101" s="74">
        <v>0</v>
      </c>
      <c r="M1101" s="74">
        <v>0</v>
      </c>
      <c r="N1101" s="74">
        <v>0</v>
      </c>
    </row>
    <row r="1102" spans="1:14" x14ac:dyDescent="0.25">
      <c r="A1102" t="e">
        <f>VLOOKUP(VALUE(RIGHT(B1102,4)),'Waste Lookups'!$B$1:$C$295,2,FALSE)</f>
        <v>#N/A</v>
      </c>
      <c r="B1102" s="74" t="s">
        <v>2929</v>
      </c>
      <c r="C1102" s="74" t="s">
        <v>2930</v>
      </c>
      <c r="D1102" s="74">
        <v>0</v>
      </c>
      <c r="E1102" s="74">
        <v>0</v>
      </c>
      <c r="F1102" s="74">
        <v>0</v>
      </c>
      <c r="G1102" s="74">
        <v>0</v>
      </c>
      <c r="H1102" s="74">
        <v>0.91093038848353369</v>
      </c>
      <c r="I1102" s="74"/>
      <c r="J1102" s="74">
        <v>0</v>
      </c>
      <c r="K1102" s="74">
        <v>0</v>
      </c>
      <c r="L1102" s="74">
        <v>0</v>
      </c>
      <c r="M1102" s="74">
        <v>0</v>
      </c>
      <c r="N1102" s="74">
        <v>5.3084193781634132</v>
      </c>
    </row>
    <row r="1103" spans="1:14" x14ac:dyDescent="0.25">
      <c r="A1103" t="e">
        <f>VLOOKUP(VALUE(RIGHT(B1103,4)),'Waste Lookups'!$B$1:$C$295,2,FALSE)</f>
        <v>#N/A</v>
      </c>
      <c r="B1103" s="74" t="s">
        <v>2931</v>
      </c>
      <c r="C1103" s="74" t="s">
        <v>2932</v>
      </c>
      <c r="D1103" s="74">
        <v>0.37439393939393945</v>
      </c>
      <c r="E1103" s="74">
        <v>13.380060000000002</v>
      </c>
      <c r="F1103" s="74">
        <v>0</v>
      </c>
      <c r="G1103" s="74">
        <v>0</v>
      </c>
      <c r="H1103" s="74">
        <v>6.2193460855846974</v>
      </c>
      <c r="I1103" s="74"/>
      <c r="J1103" s="74">
        <v>0.31587771698674999</v>
      </c>
      <c r="K1103" s="74">
        <v>11.288812027212401</v>
      </c>
      <c r="L1103" s="74">
        <v>0</v>
      </c>
      <c r="M1103" s="74">
        <v>0</v>
      </c>
      <c r="N1103" s="74">
        <v>5.2472880459687703</v>
      </c>
    </row>
    <row r="1104" spans="1:14" x14ac:dyDescent="0.25">
      <c r="A1104" t="e">
        <f>VLOOKUP(VALUE(RIGHT(B1104,4)),'Waste Lookups'!$B$1:$C$295,2,FALSE)</f>
        <v>#N/A</v>
      </c>
      <c r="B1104" s="74" t="s">
        <v>2933</v>
      </c>
      <c r="C1104" s="74" t="s">
        <v>2934</v>
      </c>
      <c r="D1104" s="74">
        <v>40.01521212121213</v>
      </c>
      <c r="E1104" s="74">
        <v>68.032979999999995</v>
      </c>
      <c r="F1104" s="74">
        <v>0</v>
      </c>
      <c r="G1104" s="74">
        <v>0</v>
      </c>
      <c r="H1104" s="74">
        <v>29.594017747978697</v>
      </c>
      <c r="I1104" s="74"/>
      <c r="J1104" s="74">
        <v>41.795545643276675</v>
      </c>
      <c r="K1104" s="74">
        <v>71.059863739440175</v>
      </c>
      <c r="L1104" s="74">
        <v>0</v>
      </c>
      <c r="M1104" s="74">
        <v>0</v>
      </c>
      <c r="N1104" s="74">
        <v>30.910697556889925</v>
      </c>
    </row>
    <row r="1105" spans="1:14" x14ac:dyDescent="0.25">
      <c r="A1105" t="e">
        <f>VLOOKUP(VALUE(RIGHT(B1105,4)),'Waste Lookups'!$B$1:$C$295,2,FALSE)</f>
        <v>#N/A</v>
      </c>
      <c r="B1105" s="74" t="s">
        <v>2935</v>
      </c>
      <c r="C1105" s="74" t="s">
        <v>2936</v>
      </c>
      <c r="D1105" s="74">
        <v>14.74</v>
      </c>
      <c r="E1105" s="74">
        <v>1.9199999999999997</v>
      </c>
      <c r="F1105" s="74">
        <v>0</v>
      </c>
      <c r="G1105" s="74">
        <v>0</v>
      </c>
      <c r="H1105" s="74">
        <v>8.9789059357128771</v>
      </c>
      <c r="I1105" s="74"/>
      <c r="J1105" s="74">
        <v>19.773380786895913</v>
      </c>
      <c r="K1105" s="74">
        <v>2.5756371174247041</v>
      </c>
      <c r="L1105" s="74">
        <v>0</v>
      </c>
      <c r="M1105" s="74">
        <v>0</v>
      </c>
      <c r="N1105" s="74">
        <v>12.045001771816191</v>
      </c>
    </row>
    <row r="1106" spans="1:14" x14ac:dyDescent="0.25">
      <c r="A1106" t="e">
        <f>VLOOKUP(VALUE(RIGHT(B1106,4)),'Waste Lookups'!$B$1:$C$295,2,FALSE)</f>
        <v>#N/A</v>
      </c>
      <c r="B1106" s="74" t="s">
        <v>2937</v>
      </c>
      <c r="C1106" s="74" t="s">
        <v>2938</v>
      </c>
      <c r="D1106" s="74">
        <v>2.4289090909090905</v>
      </c>
      <c r="E1106" s="74">
        <v>2.8858800000000002</v>
      </c>
      <c r="F1106" s="74">
        <v>0</v>
      </c>
      <c r="G1106" s="74">
        <v>0</v>
      </c>
      <c r="H1106" s="74">
        <v>0.83088937093275483</v>
      </c>
      <c r="I1106" s="74"/>
      <c r="J1106" s="74">
        <v>3.4473642171329093</v>
      </c>
      <c r="K1106" s="74">
        <v>4.0959455766275452</v>
      </c>
      <c r="L1106" s="74">
        <v>0</v>
      </c>
      <c r="M1106" s="74">
        <v>0</v>
      </c>
      <c r="N1106" s="74">
        <v>1.1792859174805814</v>
      </c>
    </row>
    <row r="1107" spans="1:14" x14ac:dyDescent="0.25">
      <c r="A1107" t="e">
        <f>VLOOKUP(VALUE(RIGHT(B1107,4)),'Waste Lookups'!$B$1:$C$295,2,FALSE)</f>
        <v>#N/A</v>
      </c>
      <c r="B1107" s="74" t="s">
        <v>2939</v>
      </c>
      <c r="C1107" s="74" t="s">
        <v>2940</v>
      </c>
      <c r="D1107" s="74">
        <v>1.8533636363636365</v>
      </c>
      <c r="E1107" s="74">
        <v>0</v>
      </c>
      <c r="F1107" s="74">
        <v>0</v>
      </c>
      <c r="G1107" s="74">
        <v>0</v>
      </c>
      <c r="H1107" s="74">
        <v>0.91093038848353369</v>
      </c>
      <c r="I1107" s="74"/>
      <c r="J1107" s="74">
        <v>1.8365409029586428</v>
      </c>
      <c r="K1107" s="74">
        <v>0</v>
      </c>
      <c r="L1107" s="74">
        <v>0</v>
      </c>
      <c r="M1107" s="74">
        <v>0</v>
      </c>
      <c r="N1107" s="74">
        <v>0.90266199539795822</v>
      </c>
    </row>
    <row r="1108" spans="1:14" x14ac:dyDescent="0.25">
      <c r="A1108" t="e">
        <f>VLOOKUP(VALUE(RIGHT(B1108,4)),'Waste Lookups'!$B$1:$C$295,2,FALSE)</f>
        <v>#N/A</v>
      </c>
      <c r="B1108" s="74" t="s">
        <v>2941</v>
      </c>
      <c r="C1108" s="74" t="s">
        <v>2942</v>
      </c>
      <c r="D1108" s="74">
        <v>1.9011818181818181</v>
      </c>
      <c r="E1108" s="74">
        <v>0</v>
      </c>
      <c r="F1108" s="74">
        <v>0</v>
      </c>
      <c r="G1108" s="74">
        <v>0</v>
      </c>
      <c r="H1108" s="74">
        <v>0.76630881482942226</v>
      </c>
      <c r="I1108" s="74"/>
      <c r="J1108" s="74">
        <v>1.9591820239239828</v>
      </c>
      <c r="K1108" s="74">
        <v>0</v>
      </c>
      <c r="L1108" s="74">
        <v>0</v>
      </c>
      <c r="M1108" s="74">
        <v>0</v>
      </c>
      <c r="N1108" s="74">
        <v>0.78968694126482353</v>
      </c>
    </row>
    <row r="1109" spans="1:14" x14ac:dyDescent="0.25">
      <c r="A1109" t="e">
        <f>VLOOKUP(VALUE(RIGHT(B1109,4)),'Waste Lookups'!$B$1:$C$295,2,FALSE)</f>
        <v>#N/A</v>
      </c>
      <c r="B1109" s="74" t="s">
        <v>2943</v>
      </c>
      <c r="C1109" s="74" t="s">
        <v>2944</v>
      </c>
      <c r="D1109" s="74">
        <v>4.4937878787878791</v>
      </c>
      <c r="E1109" s="74">
        <v>3.2072399999999996</v>
      </c>
      <c r="F1109" s="74">
        <v>0</v>
      </c>
      <c r="G1109" s="74">
        <v>0</v>
      </c>
      <c r="H1109" s="74">
        <v>1.7539230920922895</v>
      </c>
      <c r="I1109" s="74"/>
      <c r="J1109" s="74">
        <v>3.9293897971556704</v>
      </c>
      <c r="K1109" s="74">
        <v>2.8044261262347017</v>
      </c>
      <c r="L1109" s="74">
        <v>0</v>
      </c>
      <c r="M1109" s="74">
        <v>0</v>
      </c>
      <c r="N1109" s="74">
        <v>1.5336388118350885</v>
      </c>
    </row>
    <row r="1110" spans="1:14" x14ac:dyDescent="0.25">
      <c r="A1110" t="e">
        <f>VLOOKUP(VALUE(RIGHT(B1110,4)),'Waste Lookups'!$B$1:$C$295,2,FALSE)</f>
        <v>#N/A</v>
      </c>
      <c r="B1110" s="74" t="s">
        <v>2945</v>
      </c>
      <c r="C1110" s="74" t="s">
        <v>2946</v>
      </c>
      <c r="D1110" s="74">
        <v>23.108363636363638</v>
      </c>
      <c r="E1110" s="74">
        <v>0.66</v>
      </c>
      <c r="F1110" s="74">
        <v>0</v>
      </c>
      <c r="G1110" s="74">
        <v>0</v>
      </c>
      <c r="H1110" s="74">
        <v>2.6600386511536191</v>
      </c>
      <c r="I1110" s="74"/>
      <c r="J1110" s="74">
        <v>22.372439506913171</v>
      </c>
      <c r="K1110" s="74">
        <v>0.63898120641164791</v>
      </c>
      <c r="L1110" s="74">
        <v>0</v>
      </c>
      <c r="M1110" s="74">
        <v>0</v>
      </c>
      <c r="N1110" s="74">
        <v>2.5753253127511391</v>
      </c>
    </row>
    <row r="1111" spans="1:14" x14ac:dyDescent="0.25">
      <c r="A1111" t="e">
        <f>VLOOKUP(VALUE(RIGHT(B1111,4)),'Waste Lookups'!$B$1:$C$295,2,FALSE)</f>
        <v>#N/A</v>
      </c>
      <c r="B1111" s="74" t="s">
        <v>2947</v>
      </c>
      <c r="C1111" s="74" t="s">
        <v>2948</v>
      </c>
      <c r="D1111" s="74">
        <v>1.7317878787878789</v>
      </c>
      <c r="E1111" s="74">
        <v>1.78572</v>
      </c>
      <c r="F1111" s="74">
        <v>0</v>
      </c>
      <c r="G1111" s="74">
        <v>0</v>
      </c>
      <c r="H1111" s="74">
        <v>0.8397239203312955</v>
      </c>
      <c r="I1111" s="74"/>
      <c r="J1111" s="74">
        <v>1.5296661180397553</v>
      </c>
      <c r="K1111" s="74">
        <v>1.5773036719819491</v>
      </c>
      <c r="L1111" s="74">
        <v>0</v>
      </c>
      <c r="M1111" s="74">
        <v>0</v>
      </c>
      <c r="N1111" s="74">
        <v>0.74171741537846358</v>
      </c>
    </row>
    <row r="1112" spans="1:14" x14ac:dyDescent="0.25">
      <c r="A1112" t="e">
        <f>VLOOKUP(VALUE(RIGHT(B1112,4)),'Waste Lookups'!$B$1:$C$295,2,FALSE)</f>
        <v>#N/A</v>
      </c>
      <c r="B1112" s="74" t="s">
        <v>2949</v>
      </c>
      <c r="C1112" s="74" t="s">
        <v>2950</v>
      </c>
      <c r="D1112" s="74">
        <v>7.418454545454547</v>
      </c>
      <c r="E1112" s="74">
        <v>9.8848200000000013</v>
      </c>
      <c r="F1112" s="74">
        <v>0</v>
      </c>
      <c r="G1112" s="74">
        <v>0</v>
      </c>
      <c r="H1112" s="74">
        <v>1.0612060737527116</v>
      </c>
      <c r="I1112" s="74"/>
      <c r="J1112" s="74">
        <v>5.526571550232946</v>
      </c>
      <c r="K1112" s="74">
        <v>7.3639549391923058</v>
      </c>
      <c r="L1112" s="74">
        <v>0</v>
      </c>
      <c r="M1112" s="74">
        <v>0</v>
      </c>
      <c r="N1112" s="74">
        <v>0.79057319286665351</v>
      </c>
    </row>
    <row r="1113" spans="1:14" x14ac:dyDescent="0.25">
      <c r="A1113" t="e">
        <f>VLOOKUP(VALUE(RIGHT(B1113,4)),'Waste Lookups'!$B$1:$C$295,2,FALSE)</f>
        <v>#N/A</v>
      </c>
      <c r="B1113" s="74" t="s">
        <v>2951</v>
      </c>
      <c r="C1113" s="74" t="s">
        <v>2952</v>
      </c>
      <c r="D1113" s="74">
        <v>6.5440303030303042</v>
      </c>
      <c r="E1113" s="74">
        <v>0.14399999999999996</v>
      </c>
      <c r="F1113" s="74">
        <v>0</v>
      </c>
      <c r="G1113" s="74">
        <v>0</v>
      </c>
      <c r="H1113" s="74">
        <v>0.84930940642871222</v>
      </c>
      <c r="I1113" s="74"/>
      <c r="J1113" s="74">
        <v>1.009839987816969</v>
      </c>
      <c r="K1113" s="74">
        <v>2.2221314925498777E-2</v>
      </c>
      <c r="L1113" s="74">
        <v>0</v>
      </c>
      <c r="M1113" s="74">
        <v>0</v>
      </c>
      <c r="N1113" s="74">
        <v>0.13106091520445037</v>
      </c>
    </row>
    <row r="1114" spans="1:14" x14ac:dyDescent="0.25">
      <c r="A1114" t="e">
        <f>VLOOKUP(VALUE(RIGHT(B1114,4)),'Waste Lookups'!$B$1:$C$295,2,FALSE)</f>
        <v>#N/A</v>
      </c>
      <c r="B1114" s="74" t="s">
        <v>2953</v>
      </c>
      <c r="C1114" s="74" t="s">
        <v>2954</v>
      </c>
      <c r="D1114" s="74">
        <v>3.9288787878787876</v>
      </c>
      <c r="E1114" s="74">
        <v>30.656639999999996</v>
      </c>
      <c r="F1114" s="74">
        <v>0</v>
      </c>
      <c r="G1114" s="74">
        <v>0</v>
      </c>
      <c r="H1114" s="74">
        <v>3.5558177874186554</v>
      </c>
      <c r="I1114" s="74"/>
      <c r="J1114" s="74">
        <v>3.5297868953158442</v>
      </c>
      <c r="K1114" s="74">
        <v>27.542566714011333</v>
      </c>
      <c r="L1114" s="74">
        <v>0</v>
      </c>
      <c r="M1114" s="74">
        <v>0</v>
      </c>
      <c r="N1114" s="74">
        <v>3.1946210880529144</v>
      </c>
    </row>
    <row r="1115" spans="1:14" x14ac:dyDescent="0.25">
      <c r="A1115" t="e">
        <f>VLOOKUP(VALUE(RIGHT(B1115,4)),'Waste Lookups'!$B$1:$C$295,2,FALSE)</f>
        <v>#N/A</v>
      </c>
      <c r="B1115" s="74" t="s">
        <v>2955</v>
      </c>
      <c r="C1115" s="74" t="s">
        <v>2956</v>
      </c>
      <c r="D1115" s="74">
        <v>0.7842424242424243</v>
      </c>
      <c r="E1115" s="74">
        <v>1.4623799999999998</v>
      </c>
      <c r="F1115" s="74">
        <v>0</v>
      </c>
      <c r="G1115" s="74">
        <v>0</v>
      </c>
      <c r="H1115" s="74">
        <v>1.0764898442121869</v>
      </c>
      <c r="I1115" s="74"/>
      <c r="J1115" s="74">
        <v>0.48958970052426493</v>
      </c>
      <c r="K1115" s="74">
        <v>0.9129398820068878</v>
      </c>
      <c r="L1115" s="74">
        <v>0</v>
      </c>
      <c r="M1115" s="74">
        <v>0</v>
      </c>
      <c r="N1115" s="74">
        <v>0.67203497815662616</v>
      </c>
    </row>
    <row r="1116" spans="1:14" x14ac:dyDescent="0.25">
      <c r="A1116" t="e">
        <f>VLOOKUP(VALUE(RIGHT(B1116,4)),'Waste Lookups'!$B$1:$C$295,2,FALSE)</f>
        <v>#N/A</v>
      </c>
      <c r="B1116" s="74" t="s">
        <v>2957</v>
      </c>
      <c r="C1116" s="74" t="s">
        <v>2958</v>
      </c>
      <c r="D1116" s="74">
        <v>5.8063333333333329</v>
      </c>
      <c r="E1116" s="74">
        <v>3.26694</v>
      </c>
      <c r="F1116" s="74">
        <v>0</v>
      </c>
      <c r="G1116" s="74">
        <v>0</v>
      </c>
      <c r="H1116" s="74">
        <v>1.1426164464602644</v>
      </c>
      <c r="I1116" s="74"/>
      <c r="J1116" s="74">
        <v>3.3682338417455795</v>
      </c>
      <c r="K1116" s="74">
        <v>1.8951405706904476</v>
      </c>
      <c r="L1116" s="74">
        <v>0</v>
      </c>
      <c r="M1116" s="74">
        <v>0</v>
      </c>
      <c r="N1116" s="74">
        <v>0.66282784024959041</v>
      </c>
    </row>
    <row r="1117" spans="1:14" x14ac:dyDescent="0.25">
      <c r="A1117" t="e">
        <f>VLOOKUP(VALUE(RIGHT(B1117,4)),'Waste Lookups'!$B$1:$C$295,2,FALSE)</f>
        <v>#N/A</v>
      </c>
      <c r="B1117" s="74" t="s">
        <v>2959</v>
      </c>
      <c r="C1117" s="74" t="s">
        <v>2960</v>
      </c>
      <c r="D1117" s="74">
        <v>1.0260606060606063</v>
      </c>
      <c r="E1117" s="74">
        <v>2.6346000000000003</v>
      </c>
      <c r="F1117" s="74">
        <v>0</v>
      </c>
      <c r="G1117" s="74">
        <v>0</v>
      </c>
      <c r="H1117" s="74">
        <v>0.91093038848353369</v>
      </c>
      <c r="I1117" s="74"/>
      <c r="J1117" s="74">
        <v>0.74572810232990938</v>
      </c>
      <c r="K1117" s="74">
        <v>1.9147945518944629</v>
      </c>
      <c r="L1117" s="74">
        <v>0</v>
      </c>
      <c r="M1117" s="74">
        <v>0</v>
      </c>
      <c r="N1117" s="74">
        <v>0.66205289039071469</v>
      </c>
    </row>
    <row r="1118" spans="1:14" x14ac:dyDescent="0.25">
      <c r="A1118" t="e">
        <f>VLOOKUP(VALUE(RIGHT(B1118,4)),'Waste Lookups'!$B$1:$C$295,2,FALSE)</f>
        <v>#N/A</v>
      </c>
      <c r="B1118" s="74" t="s">
        <v>2961</v>
      </c>
      <c r="C1118" s="74" t="s">
        <v>2962</v>
      </c>
      <c r="D1118" s="74">
        <v>4.2040303030303026</v>
      </c>
      <c r="E1118" s="74">
        <v>4.5026400000000004</v>
      </c>
      <c r="F1118" s="74">
        <v>0</v>
      </c>
      <c r="G1118" s="74">
        <v>0</v>
      </c>
      <c r="H1118" s="74">
        <v>1.7764511930585685</v>
      </c>
      <c r="I1118" s="74"/>
      <c r="J1118" s="74">
        <v>3.2639112203223446</v>
      </c>
      <c r="K1118" s="74">
        <v>3.495744834778912</v>
      </c>
      <c r="L1118" s="74">
        <v>0</v>
      </c>
      <c r="M1118" s="74">
        <v>0</v>
      </c>
      <c r="N1118" s="74">
        <v>1.3791953348194224</v>
      </c>
    </row>
    <row r="1119" spans="1:14" x14ac:dyDescent="0.25">
      <c r="A1119" t="e">
        <f>VLOOKUP(VALUE(RIGHT(B1119,4)),'Waste Lookups'!$B$1:$C$295,2,FALSE)</f>
        <v>#N/A</v>
      </c>
      <c r="B1119" s="74" t="s">
        <v>2963</v>
      </c>
      <c r="C1119" s="74" t="s">
        <v>2964</v>
      </c>
      <c r="D1119" s="74">
        <v>3.4030303030303029E-2</v>
      </c>
      <c r="E1119" s="74">
        <v>2.5985999999999998</v>
      </c>
      <c r="F1119" s="74">
        <v>0</v>
      </c>
      <c r="G1119" s="74">
        <v>0</v>
      </c>
      <c r="H1119" s="74">
        <v>0.91313902583316897</v>
      </c>
      <c r="I1119" s="74"/>
      <c r="J1119" s="74">
        <v>4.1066176859602871E-2</v>
      </c>
      <c r="K1119" s="74">
        <v>3.135868848782736</v>
      </c>
      <c r="L1119" s="74">
        <v>0</v>
      </c>
      <c r="M1119" s="74">
        <v>0</v>
      </c>
      <c r="N1119" s="74">
        <v>1.1019334355876427</v>
      </c>
    </row>
    <row r="1120" spans="1:14" x14ac:dyDescent="0.25">
      <c r="A1120" t="e">
        <f>VLOOKUP(VALUE(RIGHT(B1120,4)),'Waste Lookups'!$B$1:$C$295,2,FALSE)</f>
        <v>#N/A</v>
      </c>
      <c r="B1120" s="74" t="s">
        <v>2965</v>
      </c>
      <c r="C1120" s="74" t="s">
        <v>2966</v>
      </c>
      <c r="D1120" s="74">
        <v>1.8455757575757574</v>
      </c>
      <c r="E1120" s="74">
        <v>2.91852</v>
      </c>
      <c r="F1120" s="74">
        <v>0</v>
      </c>
      <c r="G1120" s="74">
        <v>0</v>
      </c>
      <c r="H1120" s="74">
        <v>0.91093038848353369</v>
      </c>
      <c r="I1120" s="74"/>
      <c r="J1120" s="74">
        <v>1.0919198130279504</v>
      </c>
      <c r="K1120" s="74">
        <v>1.726718504855264</v>
      </c>
      <c r="L1120" s="74">
        <v>0</v>
      </c>
      <c r="M1120" s="74">
        <v>0</v>
      </c>
      <c r="N1120" s="74">
        <v>0.53894451928700582</v>
      </c>
    </row>
    <row r="1121" spans="1:14" x14ac:dyDescent="0.25">
      <c r="A1121" t="e">
        <f>VLOOKUP(VALUE(RIGHT(B1121,4)),'Waste Lookups'!$B$1:$C$295,2,FALSE)</f>
        <v>#N/A</v>
      </c>
      <c r="B1121" s="74" t="s">
        <v>2967</v>
      </c>
      <c r="C1121" s="74" t="s">
        <v>2968</v>
      </c>
      <c r="D1121" s="74">
        <v>0.17630303030303032</v>
      </c>
      <c r="E1121" s="74">
        <v>3.2687999999999997</v>
      </c>
      <c r="F1121" s="74">
        <v>0</v>
      </c>
      <c r="G1121" s="74">
        <v>0</v>
      </c>
      <c r="H1121" s="74">
        <v>1.188246894103727</v>
      </c>
      <c r="I1121" s="74"/>
      <c r="J1121" s="74">
        <v>0.11121953676307564</v>
      </c>
      <c r="K1121" s="74">
        <v>2.0620996765980868</v>
      </c>
      <c r="L1121" s="74">
        <v>0</v>
      </c>
      <c r="M1121" s="74">
        <v>0</v>
      </c>
      <c r="N1121" s="74">
        <v>0.74959726384299352</v>
      </c>
    </row>
    <row r="1122" spans="1:14" x14ac:dyDescent="0.25">
      <c r="A1122" t="e">
        <f>VLOOKUP(VALUE(RIGHT(B1122,4)),'Waste Lookups'!$B$1:$C$295,2,FALSE)</f>
        <v>#N/A</v>
      </c>
      <c r="B1122" s="74" t="s">
        <v>2969</v>
      </c>
      <c r="C1122" s="74" t="s">
        <v>2970</v>
      </c>
      <c r="D1122" s="74">
        <v>0</v>
      </c>
      <c r="E1122" s="74">
        <v>0</v>
      </c>
      <c r="F1122" s="74">
        <v>0</v>
      </c>
      <c r="G1122" s="74">
        <v>0</v>
      </c>
      <c r="H1122" s="74">
        <v>2.2940232695720768</v>
      </c>
      <c r="I1122" s="74"/>
      <c r="J1122" s="74">
        <v>0</v>
      </c>
      <c r="K1122" s="74">
        <v>0</v>
      </c>
      <c r="L1122" s="74">
        <v>0</v>
      </c>
      <c r="M1122" s="74">
        <v>0</v>
      </c>
      <c r="N1122" s="74">
        <v>0.6168503253796096</v>
      </c>
    </row>
    <row r="1123" spans="1:14" x14ac:dyDescent="0.25">
      <c r="A1123" t="e">
        <f>VLOOKUP(VALUE(RIGHT(B1123,4)),'Waste Lookups'!$B$1:$C$295,2,FALSE)</f>
        <v>#N/A</v>
      </c>
      <c r="B1123" s="74" t="s">
        <v>2971</v>
      </c>
      <c r="C1123" s="74" t="s">
        <v>2972</v>
      </c>
      <c r="D1123" s="74">
        <v>6.8014545454545461</v>
      </c>
      <c r="E1123" s="74">
        <v>0</v>
      </c>
      <c r="F1123" s="74">
        <v>0</v>
      </c>
      <c r="G1123" s="74">
        <v>0</v>
      </c>
      <c r="H1123" s="74">
        <v>0</v>
      </c>
      <c r="I1123" s="74"/>
      <c r="J1123" s="74">
        <v>0</v>
      </c>
      <c r="K1123" s="74">
        <v>0</v>
      </c>
      <c r="L1123" s="74">
        <v>0</v>
      </c>
      <c r="M1123" s="74">
        <v>0</v>
      </c>
      <c r="N1123" s="74">
        <v>0</v>
      </c>
    </row>
    <row r="1124" spans="1:14" x14ac:dyDescent="0.25">
      <c r="A1124" t="e">
        <f>VLOOKUP(VALUE(RIGHT(B1124,4)),'Waste Lookups'!$B$1:$C$295,2,FALSE)</f>
        <v>#N/A</v>
      </c>
      <c r="B1124" s="74" t="s">
        <v>2973</v>
      </c>
      <c r="C1124" s="74" t="s">
        <v>2974</v>
      </c>
      <c r="D1124" s="74">
        <v>0.34763636363636369</v>
      </c>
      <c r="E1124" s="74">
        <v>0</v>
      </c>
      <c r="F1124" s="74">
        <v>0</v>
      </c>
      <c r="G1124" s="74">
        <v>0</v>
      </c>
      <c r="H1124" s="74">
        <v>0</v>
      </c>
      <c r="I1124" s="74"/>
      <c r="J1124" s="74">
        <v>0</v>
      </c>
      <c r="K1124" s="74">
        <v>0</v>
      </c>
      <c r="L1124" s="74">
        <v>0</v>
      </c>
      <c r="M1124" s="74">
        <v>0</v>
      </c>
      <c r="N1124" s="74">
        <v>0</v>
      </c>
    </row>
    <row r="1125" spans="1:14" x14ac:dyDescent="0.25">
      <c r="A1125" t="e">
        <f>VLOOKUP(VALUE(RIGHT(B1125,4)),'Waste Lookups'!$B$1:$C$295,2,FALSE)</f>
        <v>#N/A</v>
      </c>
      <c r="B1125" s="74" t="s">
        <v>2975</v>
      </c>
      <c r="C1125" s="74" t="s">
        <v>2976</v>
      </c>
      <c r="D1125" s="74">
        <v>4.1518787878787879</v>
      </c>
      <c r="E1125" s="74">
        <v>0</v>
      </c>
      <c r="F1125" s="74">
        <v>0</v>
      </c>
      <c r="G1125" s="74">
        <v>0</v>
      </c>
      <c r="H1125" s="74">
        <v>0</v>
      </c>
      <c r="I1125" s="74"/>
      <c r="J1125" s="74">
        <v>3.6867222222222225</v>
      </c>
      <c r="K1125" s="74">
        <v>0</v>
      </c>
      <c r="L1125" s="74">
        <v>0</v>
      </c>
      <c r="M1125" s="74">
        <v>0</v>
      </c>
      <c r="N1125" s="74">
        <v>0</v>
      </c>
    </row>
    <row r="1126" spans="1:14" x14ac:dyDescent="0.25">
      <c r="A1126" t="e">
        <f>VLOOKUP(VALUE(RIGHT(B1126,4)),'Waste Lookups'!$B$1:$C$295,2,FALSE)</f>
        <v>#N/A</v>
      </c>
      <c r="B1126" s="74" t="s">
        <v>2977</v>
      </c>
      <c r="C1126" s="74" t="s">
        <v>2978</v>
      </c>
      <c r="D1126" s="74">
        <v>0.73745454545454547</v>
      </c>
      <c r="E1126" s="74">
        <v>0</v>
      </c>
      <c r="F1126" s="74">
        <v>0</v>
      </c>
      <c r="G1126" s="74">
        <v>0</v>
      </c>
      <c r="H1126" s="74">
        <v>0.30496864523762579</v>
      </c>
      <c r="I1126" s="74"/>
      <c r="J1126" s="74">
        <v>0.94326235595390528</v>
      </c>
      <c r="K1126" s="74">
        <v>0</v>
      </c>
      <c r="L1126" s="74">
        <v>0</v>
      </c>
      <c r="M1126" s="74">
        <v>0</v>
      </c>
      <c r="N1126" s="74">
        <v>0.39007887953501597</v>
      </c>
    </row>
    <row r="1127" spans="1:14" x14ac:dyDescent="0.25">
      <c r="A1127" t="e">
        <f>VLOOKUP(VALUE(RIGHT(B1127,4)),'Waste Lookups'!$B$1:$C$295,2,FALSE)</f>
        <v>#N/A</v>
      </c>
      <c r="B1127" s="74" t="s">
        <v>2979</v>
      </c>
      <c r="C1127" s="74" t="s">
        <v>2980</v>
      </c>
      <c r="D1127" s="74">
        <v>1.2813030303030302</v>
      </c>
      <c r="E1127" s="74">
        <v>0</v>
      </c>
      <c r="F1127" s="74">
        <v>0</v>
      </c>
      <c r="G1127" s="74">
        <v>0</v>
      </c>
      <c r="H1127" s="74">
        <v>0</v>
      </c>
      <c r="I1127" s="74"/>
      <c r="J1127" s="74">
        <v>0</v>
      </c>
      <c r="K1127" s="74">
        <v>0</v>
      </c>
      <c r="L1127" s="74">
        <v>0</v>
      </c>
      <c r="M1127" s="74">
        <v>0</v>
      </c>
      <c r="N1127" s="74">
        <v>0</v>
      </c>
    </row>
    <row r="1128" spans="1:14" x14ac:dyDescent="0.25">
      <c r="A1128" t="e">
        <f>VLOOKUP(VALUE(RIGHT(B1128,4)),'Waste Lookups'!$B$1:$C$295,2,FALSE)</f>
        <v>#N/A</v>
      </c>
      <c r="B1128" s="74" t="s">
        <v>2981</v>
      </c>
      <c r="C1128" s="74" t="s">
        <v>2982</v>
      </c>
      <c r="D1128" s="74">
        <v>1.662818181818182</v>
      </c>
      <c r="E1128" s="74">
        <v>0</v>
      </c>
      <c r="F1128" s="74">
        <v>0</v>
      </c>
      <c r="G1128" s="74">
        <v>0</v>
      </c>
      <c r="H1128" s="74">
        <v>0</v>
      </c>
      <c r="I1128" s="74"/>
      <c r="J1128" s="74">
        <v>0</v>
      </c>
      <c r="K1128" s="74">
        <v>0</v>
      </c>
      <c r="L1128" s="74">
        <v>0</v>
      </c>
      <c r="M1128" s="74">
        <v>0</v>
      </c>
      <c r="N1128" s="74">
        <v>0</v>
      </c>
    </row>
    <row r="1129" spans="1:14" x14ac:dyDescent="0.25">
      <c r="A1129" t="e">
        <f>VLOOKUP(VALUE(RIGHT(B1129,4)),'Waste Lookups'!$B$1:$C$295,2,FALSE)</f>
        <v>#N/A</v>
      </c>
      <c r="B1129" s="74" t="s">
        <v>2983</v>
      </c>
      <c r="C1129" s="74" t="s">
        <v>2984</v>
      </c>
      <c r="D1129" s="74">
        <v>11.447878787878787</v>
      </c>
      <c r="E1129" s="74">
        <v>0</v>
      </c>
      <c r="F1129" s="74">
        <v>0</v>
      </c>
      <c r="G1129" s="74">
        <v>0</v>
      </c>
      <c r="H1129" s="74">
        <v>0</v>
      </c>
      <c r="I1129" s="74"/>
      <c r="J1129" s="74">
        <v>0</v>
      </c>
      <c r="K1129" s="74">
        <v>0</v>
      </c>
      <c r="L1129" s="74">
        <v>0</v>
      </c>
      <c r="M1129" s="74">
        <v>0</v>
      </c>
      <c r="N1129" s="74">
        <v>0</v>
      </c>
    </row>
    <row r="1130" spans="1:14" x14ac:dyDescent="0.25">
      <c r="A1130" t="e">
        <f>VLOOKUP(VALUE(RIGHT(B1130,4)),'Waste Lookups'!$B$1:$C$295,2,FALSE)</f>
        <v>#N/A</v>
      </c>
      <c r="B1130" s="74" t="s">
        <v>2985</v>
      </c>
      <c r="C1130" s="74" t="s">
        <v>2986</v>
      </c>
      <c r="D1130" s="74">
        <v>14.367727272727276</v>
      </c>
      <c r="E1130" s="74">
        <v>8.3953199999999999</v>
      </c>
      <c r="F1130" s="74">
        <v>0</v>
      </c>
      <c r="G1130" s="74">
        <v>0.42390000000000005</v>
      </c>
      <c r="H1130" s="74">
        <v>0</v>
      </c>
      <c r="I1130" s="74"/>
      <c r="J1130" s="74">
        <v>1.2924426648749319</v>
      </c>
      <c r="K1130" s="74">
        <v>0.75519736332092702</v>
      </c>
      <c r="L1130" s="74">
        <v>0</v>
      </c>
      <c r="M1130" s="74">
        <v>3.8131740340063384E-2</v>
      </c>
      <c r="N1130" s="74">
        <v>0</v>
      </c>
    </row>
    <row r="1131" spans="1:14" x14ac:dyDescent="0.25">
      <c r="A1131" t="e">
        <f>VLOOKUP(VALUE(RIGHT(B1131,4)),'Waste Lookups'!$B$1:$C$295,2,FALSE)</f>
        <v>#N/A</v>
      </c>
      <c r="B1131" s="74" t="s">
        <v>2987</v>
      </c>
      <c r="C1131" s="74" t="s">
        <v>2988</v>
      </c>
      <c r="D1131" s="74">
        <v>13.336363636363636</v>
      </c>
      <c r="E1131" s="74">
        <v>0</v>
      </c>
      <c r="F1131" s="74">
        <v>0</v>
      </c>
      <c r="G1131" s="74">
        <v>0</v>
      </c>
      <c r="H1131" s="74">
        <v>0</v>
      </c>
      <c r="I1131" s="74"/>
      <c r="J1131" s="74">
        <v>0</v>
      </c>
      <c r="K1131" s="74">
        <v>0</v>
      </c>
      <c r="L1131" s="74">
        <v>0</v>
      </c>
      <c r="M1131" s="74">
        <v>0</v>
      </c>
      <c r="N1131" s="74">
        <v>0</v>
      </c>
    </row>
    <row r="1132" spans="1:14" x14ac:dyDescent="0.25">
      <c r="A1132" t="e">
        <f>VLOOKUP(VALUE(RIGHT(B1132,4)),'Waste Lookups'!$B$1:$C$295,2,FALSE)</f>
        <v>#N/A</v>
      </c>
      <c r="B1132" s="74" t="s">
        <v>2989</v>
      </c>
      <c r="C1132" s="74" t="s">
        <v>2990</v>
      </c>
      <c r="D1132" s="74">
        <v>20.420727272727277</v>
      </c>
      <c r="E1132" s="74">
        <v>0</v>
      </c>
      <c r="F1132" s="74">
        <v>0</v>
      </c>
      <c r="G1132" s="74">
        <v>0</v>
      </c>
      <c r="H1132" s="74">
        <v>0</v>
      </c>
      <c r="I1132" s="74"/>
      <c r="J1132" s="74">
        <v>8.9290833333333346</v>
      </c>
      <c r="K1132" s="74">
        <v>0</v>
      </c>
      <c r="L1132" s="74">
        <v>0</v>
      </c>
      <c r="M1132" s="74">
        <v>0</v>
      </c>
      <c r="N1132" s="74">
        <v>0</v>
      </c>
    </row>
    <row r="1133" spans="1:14" x14ac:dyDescent="0.25">
      <c r="A1133" t="str">
        <f>VLOOKUP(VALUE(RIGHT(B1133,4)),'Waste Lookups'!$B$1:$C$295,2,FALSE)</f>
        <v>St Margarets Community Hospital</v>
      </c>
      <c r="B1133" s="74" t="s">
        <v>780</v>
      </c>
      <c r="C1133" s="74" t="s">
        <v>2991</v>
      </c>
      <c r="D1133" s="74">
        <v>0.71266666666666678</v>
      </c>
      <c r="E1133" s="74">
        <v>0</v>
      </c>
      <c r="F1133" s="74">
        <v>0</v>
      </c>
      <c r="G1133" s="74">
        <v>0</v>
      </c>
      <c r="H1133" s="74">
        <v>0</v>
      </c>
      <c r="I1133" s="74"/>
      <c r="J1133" s="74">
        <v>0</v>
      </c>
      <c r="K1133" s="74">
        <v>0</v>
      </c>
      <c r="L1133" s="74">
        <v>0</v>
      </c>
      <c r="M1133" s="74">
        <v>0</v>
      </c>
      <c r="N1133" s="74">
        <v>0</v>
      </c>
    </row>
    <row r="1134" spans="1:14" x14ac:dyDescent="0.25">
      <c r="A1134" t="e">
        <f>VLOOKUP(VALUE(RIGHT(B1134,4)),'Waste Lookups'!$B$1:$C$295,2,FALSE)</f>
        <v>#N/A</v>
      </c>
      <c r="B1134" s="74" t="s">
        <v>2992</v>
      </c>
      <c r="C1134" s="74" t="s">
        <v>2993</v>
      </c>
      <c r="D1134" s="74">
        <v>0</v>
      </c>
      <c r="E1134" s="74">
        <v>10.079999999999998</v>
      </c>
      <c r="F1134" s="74">
        <v>0</v>
      </c>
      <c r="G1134" s="74">
        <v>0</v>
      </c>
      <c r="H1134" s="74">
        <v>0.37105107473871035</v>
      </c>
      <c r="I1134" s="74"/>
      <c r="J1134" s="74">
        <v>0</v>
      </c>
      <c r="K1134" s="74">
        <v>9.2910190476190468</v>
      </c>
      <c r="L1134" s="74">
        <v>0</v>
      </c>
      <c r="M1134" s="74">
        <v>0</v>
      </c>
      <c r="N1134" s="74">
        <v>0.34200819474572186</v>
      </c>
    </row>
    <row r="1135" spans="1:14" x14ac:dyDescent="0.25">
      <c r="A1135" t="e">
        <f>VLOOKUP(VALUE(RIGHT(B1135,4)),'Waste Lookups'!$B$1:$C$295,2,FALSE)</f>
        <v>#N/A</v>
      </c>
      <c r="B1135" s="74" t="s">
        <v>2994</v>
      </c>
      <c r="C1135" s="74" t="s">
        <v>2995</v>
      </c>
      <c r="D1135" s="74">
        <v>0</v>
      </c>
      <c r="E1135" s="74">
        <v>24.630899999999997</v>
      </c>
      <c r="F1135" s="74">
        <v>0.68856363636363638</v>
      </c>
      <c r="G1135" s="74">
        <v>0</v>
      </c>
      <c r="H1135" s="74">
        <v>0.55657661210806553</v>
      </c>
      <c r="I1135" s="74"/>
      <c r="J1135" s="74">
        <v>0</v>
      </c>
      <c r="K1135" s="74">
        <v>19.110953018963702</v>
      </c>
      <c r="L1135" s="74">
        <v>0.53425198856364409</v>
      </c>
      <c r="M1135" s="74">
        <v>0</v>
      </c>
      <c r="N1135" s="74">
        <v>0.43184412609572631</v>
      </c>
    </row>
    <row r="1136" spans="1:14" x14ac:dyDescent="0.25">
      <c r="A1136" t="str">
        <f>VLOOKUP(VALUE(RIGHT(B1136,4)),'Waste Lookups'!$B$1:$C$295,2,FALSE)</f>
        <v>Charter House</v>
      </c>
      <c r="B1136" s="74" t="s">
        <v>700</v>
      </c>
      <c r="C1136" s="74" t="s">
        <v>2996</v>
      </c>
      <c r="D1136" s="74">
        <v>0</v>
      </c>
      <c r="E1136" s="74">
        <v>53.903220000000005</v>
      </c>
      <c r="F1136" s="74">
        <v>0</v>
      </c>
      <c r="G1136" s="74">
        <v>0</v>
      </c>
      <c r="H1136" s="74">
        <v>3.0916063892723327</v>
      </c>
      <c r="I1136" s="74"/>
      <c r="J1136" s="74">
        <v>0</v>
      </c>
      <c r="K1136" s="74">
        <v>59.37379395693408</v>
      </c>
      <c r="L1136" s="74">
        <v>0</v>
      </c>
      <c r="M1136" s="74">
        <v>0</v>
      </c>
      <c r="N1136" s="74">
        <v>3.40536986014187</v>
      </c>
    </row>
    <row r="1137" spans="1:14" x14ac:dyDescent="0.25">
      <c r="A1137" t="e">
        <f>VLOOKUP(VALUE(RIGHT(B1137,4)),'Waste Lookups'!$B$1:$C$295,2,FALSE)</f>
        <v>#N/A</v>
      </c>
      <c r="B1137" s="74" t="s">
        <v>2997</v>
      </c>
      <c r="C1137" s="74" t="s">
        <v>2998</v>
      </c>
      <c r="D1137" s="74">
        <v>0</v>
      </c>
      <c r="E1137" s="74">
        <v>15.810060000000002</v>
      </c>
      <c r="F1137" s="74">
        <v>1.4126181818181822</v>
      </c>
      <c r="G1137" s="74">
        <v>0</v>
      </c>
      <c r="H1137" s="74">
        <v>0</v>
      </c>
      <c r="I1137" s="74"/>
      <c r="J1137" s="74">
        <v>0</v>
      </c>
      <c r="K1137" s="74">
        <v>14.231540769208223</v>
      </c>
      <c r="L1137" s="74">
        <v>1.2715785547853868</v>
      </c>
      <c r="M1137" s="74">
        <v>0</v>
      </c>
      <c r="N1137" s="74">
        <v>0</v>
      </c>
    </row>
    <row r="1138" spans="1:14" x14ac:dyDescent="0.25">
      <c r="A1138" t="e">
        <f>VLOOKUP(VALUE(RIGHT(B1138,4)),'Waste Lookups'!$B$1:$C$295,2,FALSE)</f>
        <v>#N/A</v>
      </c>
      <c r="B1138" s="74" t="s">
        <v>2999</v>
      </c>
      <c r="C1138" s="74" t="s">
        <v>3000</v>
      </c>
      <c r="D1138" s="74">
        <v>0</v>
      </c>
      <c r="E1138" s="74">
        <v>9.2605799999999991</v>
      </c>
      <c r="F1138" s="74">
        <v>0</v>
      </c>
      <c r="G1138" s="74">
        <v>0</v>
      </c>
      <c r="H1138" s="74">
        <v>1.6697298363241964</v>
      </c>
      <c r="I1138" s="74"/>
      <c r="J1138" s="74">
        <v>0</v>
      </c>
      <c r="K1138" s="74">
        <v>6.4130266353965535</v>
      </c>
      <c r="L1138" s="74">
        <v>0</v>
      </c>
      <c r="M1138" s="74">
        <v>0</v>
      </c>
      <c r="N1138" s="74">
        <v>1.1563014319042004</v>
      </c>
    </row>
    <row r="1139" spans="1:14" x14ac:dyDescent="0.25">
      <c r="A1139" t="e">
        <f>VLOOKUP(VALUE(RIGHT(B1139,4)),'Waste Lookups'!$B$1:$C$295,2,FALSE)</f>
        <v>#N/A</v>
      </c>
      <c r="B1139" s="74" t="s">
        <v>3001</v>
      </c>
      <c r="C1139" s="74" t="s">
        <v>3002</v>
      </c>
      <c r="D1139" s="74">
        <v>0</v>
      </c>
      <c r="E1139" s="74">
        <v>11.415059999999999</v>
      </c>
      <c r="F1139" s="74">
        <v>0.74341818181818187</v>
      </c>
      <c r="G1139" s="74">
        <v>0</v>
      </c>
      <c r="H1139" s="74">
        <v>0.55657661210806553</v>
      </c>
      <c r="I1139" s="74"/>
      <c r="J1139" s="74">
        <v>0</v>
      </c>
      <c r="K1139" s="74">
        <v>9.375391376554429</v>
      </c>
      <c r="L1139" s="74">
        <v>0.61058254717819749</v>
      </c>
      <c r="M1139" s="74">
        <v>0</v>
      </c>
      <c r="N1139" s="74">
        <v>0.45712624984448941</v>
      </c>
    </row>
    <row r="1140" spans="1:14" x14ac:dyDescent="0.25">
      <c r="A1140" t="e">
        <f>VLOOKUP(VALUE(RIGHT(B1140,4)),'Waste Lookups'!$B$1:$C$295,2,FALSE)</f>
        <v>#N/A</v>
      </c>
      <c r="B1140" s="74" t="s">
        <v>3003</v>
      </c>
      <c r="C1140" s="74" t="s">
        <v>3004</v>
      </c>
      <c r="D1140" s="74">
        <v>0</v>
      </c>
      <c r="E1140" s="74">
        <v>1.19676</v>
      </c>
      <c r="F1140" s="74">
        <v>0</v>
      </c>
      <c r="G1140" s="74">
        <v>0</v>
      </c>
      <c r="H1140" s="74">
        <v>0</v>
      </c>
      <c r="I1140" s="74"/>
      <c r="J1140" s="74">
        <v>0</v>
      </c>
      <c r="K1140" s="74">
        <v>4.5327150000000005</v>
      </c>
      <c r="L1140" s="74">
        <v>0</v>
      </c>
      <c r="M1140" s="74">
        <v>0</v>
      </c>
      <c r="N1140" s="74">
        <v>0</v>
      </c>
    </row>
    <row r="1141" spans="1:14" x14ac:dyDescent="0.25">
      <c r="A1141" t="e">
        <f>VLOOKUP(VALUE(RIGHT(B1141,4)),'Waste Lookups'!$B$1:$C$295,2,FALSE)</f>
        <v>#N/A</v>
      </c>
      <c r="B1141" s="74" t="s">
        <v>3005</v>
      </c>
      <c r="C1141" s="74" t="s">
        <v>3006</v>
      </c>
      <c r="D1141" s="74">
        <v>0</v>
      </c>
      <c r="E1141" s="74">
        <v>7.8365399999999994</v>
      </c>
      <c r="F1141" s="74">
        <v>0</v>
      </c>
      <c r="G1141" s="74">
        <v>0</v>
      </c>
      <c r="H1141" s="74">
        <v>0</v>
      </c>
      <c r="I1141" s="74"/>
      <c r="J1141" s="74">
        <v>0</v>
      </c>
      <c r="K1141" s="74">
        <v>5.4513800000000003</v>
      </c>
      <c r="L1141" s="74">
        <v>0</v>
      </c>
      <c r="M1141" s="74">
        <v>0</v>
      </c>
      <c r="N1141" s="74">
        <v>0</v>
      </c>
    </row>
    <row r="1142" spans="1:14" x14ac:dyDescent="0.25">
      <c r="A1142" t="e">
        <f>VLOOKUP(VALUE(RIGHT(B1142,4)),'Waste Lookups'!$B$1:$C$295,2,FALSE)</f>
        <v>#N/A</v>
      </c>
      <c r="B1142" s="74" t="s">
        <v>3007</v>
      </c>
      <c r="C1142" s="74" t="s">
        <v>3008</v>
      </c>
      <c r="D1142" s="74">
        <v>0</v>
      </c>
      <c r="E1142" s="74">
        <v>1.53816</v>
      </c>
      <c r="F1142" s="74">
        <v>0</v>
      </c>
      <c r="G1142" s="74">
        <v>0</v>
      </c>
      <c r="H1142" s="74">
        <v>0</v>
      </c>
      <c r="I1142" s="74"/>
      <c r="J1142" s="74">
        <v>0</v>
      </c>
      <c r="K1142" s="74">
        <v>0</v>
      </c>
      <c r="L1142" s="74">
        <v>0</v>
      </c>
      <c r="M1142" s="74">
        <v>0</v>
      </c>
      <c r="N1142" s="74">
        <v>0</v>
      </c>
    </row>
    <row r="1143" spans="1:14" x14ac:dyDescent="0.25">
      <c r="A1143" t="e">
        <f>VLOOKUP(VALUE(RIGHT(B1143,4)),'Waste Lookups'!$B$1:$C$295,2,FALSE)</f>
        <v>#N/A</v>
      </c>
      <c r="B1143" s="74" t="s">
        <v>3009</v>
      </c>
      <c r="C1143" s="74" t="s">
        <v>3010</v>
      </c>
      <c r="D1143" s="74">
        <v>0</v>
      </c>
      <c r="E1143" s="74">
        <v>43.644539999999992</v>
      </c>
      <c r="F1143" s="74">
        <v>8.9350181818181831</v>
      </c>
      <c r="G1143" s="74">
        <v>0</v>
      </c>
      <c r="H1143" s="74">
        <v>0</v>
      </c>
      <c r="I1143" s="74"/>
      <c r="J1143" s="74">
        <v>0</v>
      </c>
      <c r="K1143" s="74">
        <v>28.863817219553916</v>
      </c>
      <c r="L1143" s="74">
        <v>5.9090720546806317</v>
      </c>
      <c r="M1143" s="74">
        <v>0</v>
      </c>
      <c r="N1143" s="74">
        <v>0</v>
      </c>
    </row>
    <row r="1144" spans="1:14" x14ac:dyDescent="0.25">
      <c r="A1144" t="e">
        <f>VLOOKUP(VALUE(RIGHT(B1144,4)),'Waste Lookups'!$B$1:$C$295,2,FALSE)</f>
        <v>#N/A</v>
      </c>
      <c r="B1144" s="74" t="s">
        <v>3011</v>
      </c>
      <c r="C1144" s="74" t="s">
        <v>3012</v>
      </c>
      <c r="D1144" s="74">
        <v>0</v>
      </c>
      <c r="E1144" s="74">
        <v>0.252</v>
      </c>
      <c r="F1144" s="74">
        <v>0</v>
      </c>
      <c r="G1144" s="74">
        <v>0</v>
      </c>
      <c r="H1144" s="74">
        <v>0</v>
      </c>
      <c r="I1144" s="74"/>
      <c r="J1144" s="74">
        <v>0</v>
      </c>
      <c r="K1144" s="74">
        <v>0</v>
      </c>
      <c r="L1144" s="74">
        <v>0</v>
      </c>
      <c r="M1144" s="74">
        <v>0</v>
      </c>
      <c r="N1144" s="74">
        <v>0</v>
      </c>
    </row>
    <row r="1145" spans="1:14" x14ac:dyDescent="0.25">
      <c r="A1145" t="e">
        <f>VLOOKUP(VALUE(RIGHT(B1145,4)),'Waste Lookups'!$B$1:$C$295,2,FALSE)</f>
        <v>#N/A</v>
      </c>
      <c r="B1145" s="74" t="s">
        <v>3013</v>
      </c>
      <c r="C1145" s="74" t="s">
        <v>3014</v>
      </c>
      <c r="D1145" s="74">
        <v>0</v>
      </c>
      <c r="E1145" s="74">
        <v>2.7187200000000002</v>
      </c>
      <c r="F1145" s="74">
        <v>0</v>
      </c>
      <c r="G1145" s="74">
        <v>0</v>
      </c>
      <c r="H1145" s="74">
        <v>0.26503648195622165</v>
      </c>
      <c r="I1145" s="74"/>
      <c r="J1145" s="74">
        <v>0</v>
      </c>
      <c r="K1145" s="74">
        <v>8.106173919550983</v>
      </c>
      <c r="L1145" s="74">
        <v>0</v>
      </c>
      <c r="M1145" s="74">
        <v>0</v>
      </c>
      <c r="N1145" s="74">
        <v>0.79023651489048818</v>
      </c>
    </row>
    <row r="1146" spans="1:14" x14ac:dyDescent="0.25">
      <c r="A1146" t="e">
        <f>VLOOKUP(VALUE(RIGHT(B1146,4)),'Waste Lookups'!$B$1:$C$295,2,FALSE)</f>
        <v>#N/A</v>
      </c>
      <c r="B1146" s="74" t="s">
        <v>3015</v>
      </c>
      <c r="C1146" s="74" t="s">
        <v>3016</v>
      </c>
      <c r="D1146" s="74">
        <v>0</v>
      </c>
      <c r="E1146" s="74">
        <v>3.6595800000000001</v>
      </c>
      <c r="F1146" s="74">
        <v>0</v>
      </c>
      <c r="G1146" s="74">
        <v>0</v>
      </c>
      <c r="H1146" s="74">
        <v>0</v>
      </c>
      <c r="I1146" s="74"/>
      <c r="J1146" s="74">
        <v>0</v>
      </c>
      <c r="K1146" s="74">
        <v>4.0822099999999999</v>
      </c>
      <c r="L1146" s="74">
        <v>0</v>
      </c>
      <c r="M1146" s="74">
        <v>0</v>
      </c>
      <c r="N1146" s="74">
        <v>0</v>
      </c>
    </row>
    <row r="1147" spans="1:14" x14ac:dyDescent="0.25">
      <c r="A1147" t="e">
        <f>VLOOKUP(VALUE(RIGHT(B1147,4)),'Waste Lookups'!$B$1:$C$295,2,FALSE)</f>
        <v>#N/A</v>
      </c>
      <c r="B1147" s="74" t="s">
        <v>3017</v>
      </c>
      <c r="C1147" s="74" t="s">
        <v>3018</v>
      </c>
      <c r="D1147" s="74">
        <v>0</v>
      </c>
      <c r="E1147" s="74">
        <v>4.2000000000000003E-2</v>
      </c>
      <c r="F1147" s="74">
        <v>0</v>
      </c>
      <c r="G1147" s="74">
        <v>0</v>
      </c>
      <c r="H1147" s="74">
        <v>0</v>
      </c>
      <c r="I1147" s="74"/>
      <c r="J1147" s="74">
        <v>0</v>
      </c>
      <c r="K1147" s="74">
        <v>2.3704999999999998</v>
      </c>
      <c r="L1147" s="74">
        <v>0</v>
      </c>
      <c r="M1147" s="74">
        <v>0</v>
      </c>
      <c r="N1147" s="74">
        <v>0</v>
      </c>
    </row>
    <row r="1148" spans="1:14" x14ac:dyDescent="0.25">
      <c r="A1148" t="e">
        <f>VLOOKUP(VALUE(RIGHT(B1148,4)),'Waste Lookups'!$B$1:$C$295,2,FALSE)</f>
        <v>#N/A</v>
      </c>
      <c r="B1148" s="74" t="s">
        <v>3019</v>
      </c>
      <c r="C1148" s="74" t="s">
        <v>3020</v>
      </c>
      <c r="D1148" s="74">
        <v>0</v>
      </c>
      <c r="E1148" s="74">
        <v>7.4535600000000004</v>
      </c>
      <c r="F1148" s="74">
        <v>0.18650909090909093</v>
      </c>
      <c r="G1148" s="74">
        <v>0</v>
      </c>
      <c r="H1148" s="74">
        <v>0</v>
      </c>
      <c r="I1148" s="74"/>
      <c r="J1148" s="74">
        <v>0</v>
      </c>
      <c r="K1148" s="74">
        <v>6.4538327812974021</v>
      </c>
      <c r="L1148" s="74">
        <v>0.16149309657654443</v>
      </c>
      <c r="M1148" s="74">
        <v>0</v>
      </c>
      <c r="N1148" s="74">
        <v>0</v>
      </c>
    </row>
    <row r="1149" spans="1:14" x14ac:dyDescent="0.25">
      <c r="A1149" t="e">
        <f>VLOOKUP(VALUE(RIGHT(B1149,4)),'Waste Lookups'!$B$1:$C$295,2,FALSE)</f>
        <v>#N/A</v>
      </c>
      <c r="B1149" s="74" t="s">
        <v>3021</v>
      </c>
      <c r="C1149" s="74" t="s">
        <v>3022</v>
      </c>
      <c r="D1149" s="74">
        <v>0</v>
      </c>
      <c r="E1149" s="74">
        <v>0</v>
      </c>
      <c r="F1149" s="74">
        <v>0</v>
      </c>
      <c r="G1149" s="74">
        <v>0</v>
      </c>
      <c r="H1149" s="74">
        <v>0</v>
      </c>
      <c r="I1149" s="74"/>
      <c r="J1149" s="74">
        <v>0</v>
      </c>
      <c r="K1149" s="74">
        <v>0</v>
      </c>
      <c r="L1149" s="74">
        <v>0</v>
      </c>
      <c r="M1149" s="74">
        <v>0</v>
      </c>
      <c r="N1149" s="74">
        <v>0</v>
      </c>
    </row>
    <row r="1150" spans="1:14" x14ac:dyDescent="0.25">
      <c r="A1150" t="e">
        <f>VLOOKUP(VALUE(RIGHT(B1150,4)),'Waste Lookups'!$B$1:$C$295,2,FALSE)</f>
        <v>#N/A</v>
      </c>
      <c r="B1150" s="74" t="s">
        <v>3023</v>
      </c>
      <c r="C1150" s="74" t="s">
        <v>3024</v>
      </c>
      <c r="D1150" s="74">
        <v>0</v>
      </c>
      <c r="E1150" s="74">
        <v>1.7544600000000001</v>
      </c>
      <c r="F1150" s="74">
        <v>0</v>
      </c>
      <c r="G1150" s="74">
        <v>0</v>
      </c>
      <c r="H1150" s="74">
        <v>0</v>
      </c>
      <c r="I1150" s="74"/>
      <c r="J1150" s="74">
        <v>0</v>
      </c>
      <c r="K1150" s="74">
        <v>8.9057099999999991</v>
      </c>
      <c r="L1150" s="74">
        <v>0</v>
      </c>
      <c r="M1150" s="74">
        <v>0</v>
      </c>
      <c r="N1150" s="74">
        <v>0</v>
      </c>
    </row>
    <row r="1151" spans="1:14" x14ac:dyDescent="0.25">
      <c r="A1151" t="e">
        <f>VLOOKUP(VALUE(RIGHT(B1151,4)),'Waste Lookups'!$B$1:$C$295,2,FALSE)</f>
        <v>#N/A</v>
      </c>
      <c r="B1151" s="74" t="s">
        <v>3025</v>
      </c>
      <c r="C1151" s="74" t="s">
        <v>3026</v>
      </c>
      <c r="D1151" s="74">
        <v>0</v>
      </c>
      <c r="E1151" s="74">
        <v>10.976039999999999</v>
      </c>
      <c r="F1151" s="74">
        <v>0.89085454545454545</v>
      </c>
      <c r="G1151" s="74">
        <v>0</v>
      </c>
      <c r="H1151" s="74">
        <v>0</v>
      </c>
      <c r="I1151" s="74"/>
      <c r="J1151" s="74">
        <v>0</v>
      </c>
      <c r="K1151" s="74">
        <v>12.557635759687148</v>
      </c>
      <c r="L1151" s="74">
        <v>1.0192224970645005</v>
      </c>
      <c r="M1151" s="74">
        <v>0</v>
      </c>
      <c r="N1151" s="74">
        <v>0</v>
      </c>
    </row>
    <row r="1152" spans="1:14" x14ac:dyDescent="0.25">
      <c r="A1152" t="e">
        <f>VLOOKUP(VALUE(RIGHT(B1152,4)),'Waste Lookups'!$B$1:$C$295,2,FALSE)</f>
        <v>#N/A</v>
      </c>
      <c r="B1152" s="74" t="s">
        <v>3027</v>
      </c>
      <c r="C1152" s="74" t="s">
        <v>3028</v>
      </c>
      <c r="D1152" s="74">
        <v>0</v>
      </c>
      <c r="E1152" s="74">
        <v>15.10866</v>
      </c>
      <c r="F1152" s="74">
        <v>1.5142545454545457</v>
      </c>
      <c r="G1152" s="74">
        <v>0</v>
      </c>
      <c r="H1152" s="74">
        <v>0</v>
      </c>
      <c r="I1152" s="74"/>
      <c r="J1152" s="74">
        <v>0</v>
      </c>
      <c r="K1152" s="74">
        <v>13.855680566436382</v>
      </c>
      <c r="L1152" s="74">
        <v>1.3886755859283688</v>
      </c>
      <c r="M1152" s="74">
        <v>0</v>
      </c>
      <c r="N1152" s="74">
        <v>0</v>
      </c>
    </row>
    <row r="1153" spans="1:14" x14ac:dyDescent="0.25">
      <c r="A1153" t="e">
        <f>VLOOKUP(VALUE(RIGHT(B1153,4)),'Waste Lookups'!$B$1:$C$295,2,FALSE)</f>
        <v>#N/A</v>
      </c>
      <c r="B1153" s="74" t="s">
        <v>3029</v>
      </c>
      <c r="C1153" s="74" t="s">
        <v>3030</v>
      </c>
      <c r="D1153" s="74">
        <v>0</v>
      </c>
      <c r="E1153" s="74">
        <v>20.47278</v>
      </c>
      <c r="F1153" s="74">
        <v>0.86054545454545461</v>
      </c>
      <c r="G1153" s="74">
        <v>0</v>
      </c>
      <c r="H1153" s="74">
        <v>2.2263064484322621</v>
      </c>
      <c r="I1153" s="74"/>
      <c r="J1153" s="74">
        <v>0</v>
      </c>
      <c r="K1153" s="74">
        <v>15.92013153768257</v>
      </c>
      <c r="L1153" s="74">
        <v>0.66918107020729356</v>
      </c>
      <c r="M1153" s="74">
        <v>0</v>
      </c>
      <c r="N1153" s="74">
        <v>1.7312300284686559</v>
      </c>
    </row>
    <row r="1154" spans="1:14" x14ac:dyDescent="0.25">
      <c r="A1154" t="e">
        <f>VLOOKUP(VALUE(RIGHT(B1154,4)),'Waste Lookups'!$B$1:$C$295,2,FALSE)</f>
        <v>#N/A</v>
      </c>
      <c r="B1154" s="74" t="s">
        <v>3031</v>
      </c>
      <c r="C1154" s="74" t="s">
        <v>3032</v>
      </c>
      <c r="D1154" s="74">
        <v>0</v>
      </c>
      <c r="E1154" s="74">
        <v>26.022600000000001</v>
      </c>
      <c r="F1154" s="74">
        <v>0</v>
      </c>
      <c r="G1154" s="74">
        <v>0</v>
      </c>
      <c r="H1154" s="74">
        <v>0.7421021494774207</v>
      </c>
      <c r="I1154" s="74"/>
      <c r="J1154" s="74">
        <v>0</v>
      </c>
      <c r="K1154" s="74">
        <v>16.102688339548514</v>
      </c>
      <c r="L1154" s="74">
        <v>0</v>
      </c>
      <c r="M1154" s="74">
        <v>0</v>
      </c>
      <c r="N1154" s="74">
        <v>0.45921005699445672</v>
      </c>
    </row>
    <row r="1155" spans="1:14" x14ac:dyDescent="0.25">
      <c r="A1155" t="e">
        <f>VLOOKUP(VALUE(RIGHT(B1155,4)),'Waste Lookups'!$B$1:$C$295,2,FALSE)</f>
        <v>#N/A</v>
      </c>
      <c r="B1155" s="74" t="s">
        <v>3033</v>
      </c>
      <c r="C1155" s="74" t="s">
        <v>3034</v>
      </c>
      <c r="D1155" s="74">
        <v>0</v>
      </c>
      <c r="E1155" s="74">
        <v>19.09404</v>
      </c>
      <c r="F1155" s="74">
        <v>1.5007454545454546</v>
      </c>
      <c r="G1155" s="74">
        <v>0</v>
      </c>
      <c r="H1155" s="74">
        <v>0</v>
      </c>
      <c r="I1155" s="74"/>
      <c r="J1155" s="74">
        <v>0</v>
      </c>
      <c r="K1155" s="74">
        <v>16.32388558600212</v>
      </c>
      <c r="L1155" s="74">
        <v>1.2830180042417814</v>
      </c>
      <c r="M1155" s="74">
        <v>0</v>
      </c>
      <c r="N1155" s="74">
        <v>0</v>
      </c>
    </row>
    <row r="1156" spans="1:14" x14ac:dyDescent="0.25">
      <c r="A1156" t="e">
        <f>VLOOKUP(VALUE(RIGHT(B1156,4)),'Waste Lookups'!$B$1:$C$295,2,FALSE)</f>
        <v>#N/A</v>
      </c>
      <c r="B1156" s="74" t="s">
        <v>3035</v>
      </c>
      <c r="C1156" s="74" t="s">
        <v>3036</v>
      </c>
      <c r="D1156" s="74">
        <v>0</v>
      </c>
      <c r="E1156" s="74">
        <v>7.0042199999999983</v>
      </c>
      <c r="F1156" s="74">
        <v>0.10841818181818182</v>
      </c>
      <c r="G1156" s="74">
        <v>0</v>
      </c>
      <c r="H1156" s="74">
        <v>0.55657661210806553</v>
      </c>
      <c r="I1156" s="74"/>
      <c r="J1156" s="74">
        <v>0</v>
      </c>
      <c r="K1156" s="74">
        <v>5.0765884239837398</v>
      </c>
      <c r="L1156" s="74">
        <v>7.8580411061837899E-2</v>
      </c>
      <c r="M1156" s="74">
        <v>0</v>
      </c>
      <c r="N1156" s="74">
        <v>0.40340114760642787</v>
      </c>
    </row>
    <row r="1157" spans="1:14" x14ac:dyDescent="0.25">
      <c r="A1157" t="e">
        <f>VLOOKUP(VALUE(RIGHT(B1157,4)),'Waste Lookups'!$B$1:$C$295,2,FALSE)</f>
        <v>#N/A</v>
      </c>
      <c r="B1157" s="74" t="s">
        <v>3037</v>
      </c>
      <c r="C1157" s="74" t="s">
        <v>3038</v>
      </c>
      <c r="D1157" s="74">
        <v>0</v>
      </c>
      <c r="E1157" s="74">
        <v>0.75600000000000001</v>
      </c>
      <c r="F1157" s="74">
        <v>0</v>
      </c>
      <c r="G1157" s="74">
        <v>0</v>
      </c>
      <c r="H1157" s="74">
        <v>0</v>
      </c>
      <c r="I1157" s="74"/>
      <c r="J1157" s="74">
        <v>0</v>
      </c>
      <c r="K1157" s="74">
        <v>8.2094649999999998</v>
      </c>
      <c r="L1157" s="74">
        <v>0</v>
      </c>
      <c r="M1157" s="74">
        <v>0</v>
      </c>
      <c r="N1157" s="74">
        <v>0</v>
      </c>
    </row>
    <row r="1158" spans="1:14" x14ac:dyDescent="0.25">
      <c r="A1158" t="e">
        <f>VLOOKUP(VALUE(RIGHT(B1158,4)),'Waste Lookups'!$B$1:$C$295,2,FALSE)</f>
        <v>#N/A</v>
      </c>
      <c r="B1158" s="74" t="s">
        <v>3039</v>
      </c>
      <c r="C1158" s="74" t="s">
        <v>3040</v>
      </c>
      <c r="D1158" s="74">
        <v>0</v>
      </c>
      <c r="E1158" s="74">
        <v>9.3756599999999981</v>
      </c>
      <c r="F1158" s="74">
        <v>0.30892727272727272</v>
      </c>
      <c r="G1158" s="74">
        <v>0</v>
      </c>
      <c r="H1158" s="74">
        <v>0</v>
      </c>
      <c r="I1158" s="74"/>
      <c r="J1158" s="74">
        <v>0</v>
      </c>
      <c r="K1158" s="74">
        <v>11.761257647905939</v>
      </c>
      <c r="L1158" s="74">
        <v>0.38753253093759377</v>
      </c>
      <c r="M1158" s="74">
        <v>0</v>
      </c>
      <c r="N1158" s="74">
        <v>0</v>
      </c>
    </row>
    <row r="1159" spans="1:14" x14ac:dyDescent="0.25">
      <c r="A1159" t="e">
        <f>VLOOKUP(VALUE(RIGHT(B1159,4)),'Waste Lookups'!$B$1:$C$295,2,FALSE)</f>
        <v>#N/A</v>
      </c>
      <c r="B1159" s="74" t="s">
        <v>3041</v>
      </c>
      <c r="C1159" s="74" t="s">
        <v>3042</v>
      </c>
      <c r="D1159" s="74">
        <v>0</v>
      </c>
      <c r="E1159" s="74">
        <v>4.1036400000000004</v>
      </c>
      <c r="F1159" s="74">
        <v>0</v>
      </c>
      <c r="G1159" s="74">
        <v>0</v>
      </c>
      <c r="H1159" s="74">
        <v>0</v>
      </c>
      <c r="I1159" s="74"/>
      <c r="J1159" s="74">
        <v>0</v>
      </c>
      <c r="K1159" s="74">
        <v>0.37119499999999994</v>
      </c>
      <c r="L1159" s="74">
        <v>0</v>
      </c>
      <c r="M1159" s="74">
        <v>0</v>
      </c>
      <c r="N1159" s="74">
        <v>0</v>
      </c>
    </row>
    <row r="1160" spans="1:14" x14ac:dyDescent="0.25">
      <c r="A1160" t="e">
        <f>VLOOKUP(VALUE(RIGHT(B1160,4)),'Waste Lookups'!$B$1:$C$295,2,FALSE)</f>
        <v>#N/A</v>
      </c>
      <c r="B1160" s="74" t="s">
        <v>3043</v>
      </c>
      <c r="C1160" s="74" t="s">
        <v>3044</v>
      </c>
      <c r="D1160" s="74">
        <v>0</v>
      </c>
      <c r="E1160" s="74">
        <v>0.432</v>
      </c>
      <c r="F1160" s="74">
        <v>0</v>
      </c>
      <c r="G1160" s="74">
        <v>0</v>
      </c>
      <c r="H1160" s="74">
        <v>0</v>
      </c>
      <c r="I1160" s="74"/>
      <c r="J1160" s="74">
        <v>0</v>
      </c>
      <c r="K1160" s="74">
        <v>0</v>
      </c>
      <c r="L1160" s="74">
        <v>0</v>
      </c>
      <c r="M1160" s="74">
        <v>0</v>
      </c>
      <c r="N1160" s="74">
        <v>0</v>
      </c>
    </row>
    <row r="1161" spans="1:14" x14ac:dyDescent="0.25">
      <c r="A1161" t="e">
        <f>VLOOKUP(VALUE(RIGHT(B1161,4)),'Waste Lookups'!$B$1:$C$295,2,FALSE)</f>
        <v>#N/A</v>
      </c>
      <c r="B1161" s="74" t="s">
        <v>3045</v>
      </c>
      <c r="C1161" s="74" t="s">
        <v>3046</v>
      </c>
      <c r="D1161" s="74">
        <v>0</v>
      </c>
      <c r="E1161" s="74">
        <v>2.7812399999999999</v>
      </c>
      <c r="F1161" s="74">
        <v>0</v>
      </c>
      <c r="G1161" s="74">
        <v>0</v>
      </c>
      <c r="H1161" s="74">
        <v>0</v>
      </c>
      <c r="I1161" s="74"/>
      <c r="J1161" s="74">
        <v>0</v>
      </c>
      <c r="K1161" s="74">
        <v>2.4312750000000003</v>
      </c>
      <c r="L1161" s="74">
        <v>0</v>
      </c>
      <c r="M1161" s="74">
        <v>0</v>
      </c>
      <c r="N1161" s="74">
        <v>0</v>
      </c>
    </row>
    <row r="1162" spans="1:14" x14ac:dyDescent="0.25">
      <c r="A1162" t="e">
        <f>VLOOKUP(VALUE(RIGHT(B1162,4)),'Waste Lookups'!$B$1:$C$295,2,FALSE)</f>
        <v>#N/A</v>
      </c>
      <c r="B1162" s="74" t="s">
        <v>3047</v>
      </c>
      <c r="C1162" s="74" t="s">
        <v>3048</v>
      </c>
      <c r="D1162" s="74">
        <v>0</v>
      </c>
      <c r="E1162" s="74">
        <v>15.244979999999998</v>
      </c>
      <c r="F1162" s="74">
        <v>0.94812727272727271</v>
      </c>
      <c r="G1162" s="74">
        <v>0</v>
      </c>
      <c r="H1162" s="74">
        <v>1.2986787615854862</v>
      </c>
      <c r="I1162" s="74"/>
      <c r="J1162" s="74">
        <v>0</v>
      </c>
      <c r="K1162" s="74">
        <v>12.291063564952475</v>
      </c>
      <c r="L1162" s="74">
        <v>0.76441507806215192</v>
      </c>
      <c r="M1162" s="74">
        <v>0</v>
      </c>
      <c r="N1162" s="74">
        <v>1.0470425811710458</v>
      </c>
    </row>
    <row r="1163" spans="1:14" x14ac:dyDescent="0.25">
      <c r="A1163" t="e">
        <f>VLOOKUP(VALUE(RIGHT(B1163,4)),'Waste Lookups'!$B$1:$C$295,2,FALSE)</f>
        <v>#N/A</v>
      </c>
      <c r="B1163" s="74" t="s">
        <v>3049</v>
      </c>
      <c r="C1163" s="74" t="s">
        <v>3050</v>
      </c>
      <c r="D1163" s="74">
        <v>0</v>
      </c>
      <c r="E1163" s="74">
        <v>13.2279</v>
      </c>
      <c r="F1163" s="74">
        <v>1.6201272727272731</v>
      </c>
      <c r="G1163" s="74">
        <v>0</v>
      </c>
      <c r="H1163" s="74">
        <v>0.55657661210806553</v>
      </c>
      <c r="I1163" s="74"/>
      <c r="J1163" s="74">
        <v>0</v>
      </c>
      <c r="K1163" s="74">
        <v>12.73630996618266</v>
      </c>
      <c r="L1163" s="74">
        <v>1.5599182886263654</v>
      </c>
      <c r="M1163" s="74">
        <v>0</v>
      </c>
      <c r="N1163" s="74">
        <v>0.53589248873488138</v>
      </c>
    </row>
    <row r="1164" spans="1:14" x14ac:dyDescent="0.25">
      <c r="A1164" t="e">
        <f>VLOOKUP(VALUE(RIGHT(B1164,4)),'Waste Lookups'!$B$1:$C$295,2,FALSE)</f>
        <v>#N/A</v>
      </c>
      <c r="B1164" s="74" t="s">
        <v>3051</v>
      </c>
      <c r="C1164" s="74" t="s">
        <v>3052</v>
      </c>
      <c r="D1164" s="74">
        <v>0</v>
      </c>
      <c r="E1164" s="74">
        <v>1.0680000000000001</v>
      </c>
      <c r="F1164" s="74">
        <v>0</v>
      </c>
      <c r="G1164" s="74">
        <v>0</v>
      </c>
      <c r="H1164" s="74">
        <v>0</v>
      </c>
      <c r="I1164" s="74"/>
      <c r="J1164" s="74">
        <v>0</v>
      </c>
      <c r="K1164" s="74">
        <v>0</v>
      </c>
      <c r="L1164" s="74">
        <v>0</v>
      </c>
      <c r="M1164" s="74">
        <v>0</v>
      </c>
      <c r="N1164" s="74">
        <v>0</v>
      </c>
    </row>
    <row r="1165" spans="1:14" x14ac:dyDescent="0.25">
      <c r="A1165" t="e">
        <f>VLOOKUP(VALUE(RIGHT(B1165,4)),'Waste Lookups'!$B$1:$C$295,2,FALSE)</f>
        <v>#N/A</v>
      </c>
      <c r="B1165" s="74" t="s">
        <v>3053</v>
      </c>
      <c r="C1165" s="74" t="s">
        <v>3054</v>
      </c>
      <c r="D1165" s="74">
        <v>0</v>
      </c>
      <c r="E1165" s="74">
        <v>0.41040000000000004</v>
      </c>
      <c r="F1165" s="74">
        <v>0</v>
      </c>
      <c r="G1165" s="74">
        <v>0</v>
      </c>
      <c r="H1165" s="74">
        <v>0</v>
      </c>
      <c r="I1165" s="74"/>
      <c r="J1165" s="74">
        <v>0</v>
      </c>
      <c r="K1165" s="74">
        <v>3.4949750000000002</v>
      </c>
      <c r="L1165" s="74">
        <v>0</v>
      </c>
      <c r="M1165" s="74">
        <v>0</v>
      </c>
      <c r="N1165" s="74">
        <v>0</v>
      </c>
    </row>
    <row r="1166" spans="1:14" x14ac:dyDescent="0.25">
      <c r="A1166" t="str">
        <f>VLOOKUP(VALUE(RIGHT(B1166,4)),'Waste Lookups'!$B$1:$C$295,2,FALSE)</f>
        <v>Matthew House</v>
      </c>
      <c r="B1166" s="74" t="s">
        <v>788</v>
      </c>
      <c r="C1166" s="74" t="s">
        <v>3055</v>
      </c>
      <c r="D1166" s="74">
        <v>0</v>
      </c>
      <c r="E1166" s="74">
        <v>1.98</v>
      </c>
      <c r="F1166" s="74">
        <v>0</v>
      </c>
      <c r="G1166" s="74">
        <v>0</v>
      </c>
      <c r="H1166" s="74">
        <v>0</v>
      </c>
      <c r="I1166" s="74"/>
      <c r="J1166" s="74">
        <v>0</v>
      </c>
      <c r="K1166" s="74">
        <v>0</v>
      </c>
      <c r="L1166" s="74">
        <v>0</v>
      </c>
      <c r="M1166" s="74">
        <v>0</v>
      </c>
      <c r="N1166" s="74">
        <v>0</v>
      </c>
    </row>
    <row r="1167" spans="1:14" x14ac:dyDescent="0.25">
      <c r="A1167" t="e">
        <f>VLOOKUP(VALUE(RIGHT(B1167,4)),'Waste Lookups'!$B$1:$C$295,2,FALSE)</f>
        <v>#N/A</v>
      </c>
      <c r="B1167" s="74" t="s">
        <v>3056</v>
      </c>
      <c r="C1167" s="74" t="s">
        <v>3057</v>
      </c>
      <c r="D1167" s="74">
        <v>0</v>
      </c>
      <c r="E1167" s="74">
        <v>0.123</v>
      </c>
      <c r="F1167" s="74">
        <v>0</v>
      </c>
      <c r="G1167" s="74">
        <v>0</v>
      </c>
      <c r="H1167" s="74">
        <v>0</v>
      </c>
      <c r="I1167" s="74"/>
      <c r="J1167" s="74">
        <v>0</v>
      </c>
      <c r="K1167" s="74">
        <v>3.839385</v>
      </c>
      <c r="L1167" s="74">
        <v>0</v>
      </c>
      <c r="M1167" s="74">
        <v>0</v>
      </c>
      <c r="N1167" s="74">
        <v>0</v>
      </c>
    </row>
    <row r="1168" spans="1:14" x14ac:dyDescent="0.25">
      <c r="A1168" t="str">
        <f>VLOOKUP(VALUE(RIGHT(B1168,4)),'Waste Lookups'!$B$1:$C$295,2,FALSE)</f>
        <v>Gooseberry Hill Health Centre</v>
      </c>
      <c r="B1168" s="74" t="s">
        <v>789</v>
      </c>
      <c r="C1168" s="74" t="s">
        <v>3058</v>
      </c>
      <c r="D1168" s="74">
        <v>0</v>
      </c>
      <c r="E1168" s="74">
        <v>8.8236600000000003</v>
      </c>
      <c r="F1168" s="74">
        <v>0</v>
      </c>
      <c r="G1168" s="74">
        <v>0</v>
      </c>
      <c r="H1168" s="74">
        <v>0</v>
      </c>
      <c r="I1168" s="74"/>
      <c r="J1168" s="74">
        <v>0</v>
      </c>
      <c r="K1168" s="74">
        <v>6.4364299999999997</v>
      </c>
      <c r="L1168" s="74">
        <v>0</v>
      </c>
      <c r="M1168" s="74">
        <v>0</v>
      </c>
      <c r="N1168" s="74">
        <v>0</v>
      </c>
    </row>
    <row r="1169" spans="1:14" x14ac:dyDescent="0.25">
      <c r="A1169" t="e">
        <f>VLOOKUP(VALUE(RIGHT(B1169,4)),'Waste Lookups'!$B$1:$C$295,2,FALSE)</f>
        <v>#N/A</v>
      </c>
      <c r="B1169" s="74" t="s">
        <v>3059</v>
      </c>
      <c r="C1169" s="74" t="s">
        <v>3060</v>
      </c>
      <c r="D1169" s="74">
        <v>0</v>
      </c>
      <c r="E1169" s="74">
        <v>6.3597000000000001</v>
      </c>
      <c r="F1169" s="74">
        <v>0</v>
      </c>
      <c r="G1169" s="74">
        <v>0</v>
      </c>
      <c r="H1169" s="74">
        <v>0</v>
      </c>
      <c r="I1169" s="74"/>
      <c r="J1169" s="74">
        <v>0</v>
      </c>
      <c r="K1169" s="74">
        <v>8.2705149999999996</v>
      </c>
      <c r="L1169" s="74">
        <v>0</v>
      </c>
      <c r="M1169" s="74">
        <v>0</v>
      </c>
      <c r="N1169" s="74">
        <v>0</v>
      </c>
    </row>
    <row r="1170" spans="1:14" x14ac:dyDescent="0.25">
      <c r="A1170" t="e">
        <f>VLOOKUP(VALUE(RIGHT(B1170,4)),'Waste Lookups'!$B$1:$C$295,2,FALSE)</f>
        <v>#N/A</v>
      </c>
      <c r="B1170" s="74" t="s">
        <v>3061</v>
      </c>
      <c r="C1170" s="74" t="s">
        <v>3062</v>
      </c>
      <c r="D1170" s="74">
        <v>0</v>
      </c>
      <c r="E1170" s="74">
        <v>37.966680000000004</v>
      </c>
      <c r="F1170" s="74">
        <v>0</v>
      </c>
      <c r="G1170" s="74">
        <v>0</v>
      </c>
      <c r="H1170" s="74">
        <v>0</v>
      </c>
      <c r="I1170" s="74"/>
      <c r="J1170" s="74">
        <v>0</v>
      </c>
      <c r="K1170" s="74">
        <v>23.699555</v>
      </c>
      <c r="L1170" s="74">
        <v>0</v>
      </c>
      <c r="M1170" s="74">
        <v>0</v>
      </c>
      <c r="N1170" s="74">
        <v>0</v>
      </c>
    </row>
    <row r="1171" spans="1:14" x14ac:dyDescent="0.25">
      <c r="A1171" t="e">
        <f>VLOOKUP(VALUE(RIGHT(B1171,4)),'Waste Lookups'!$B$1:$C$295,2,FALSE)</f>
        <v>#N/A</v>
      </c>
      <c r="B1171" s="74" t="s">
        <v>3063</v>
      </c>
      <c r="C1171" s="74" t="s">
        <v>3064</v>
      </c>
      <c r="D1171" s="74">
        <v>0</v>
      </c>
      <c r="E1171" s="74">
        <v>0</v>
      </c>
      <c r="F1171" s="74">
        <v>0</v>
      </c>
      <c r="G1171" s="74">
        <v>0</v>
      </c>
      <c r="H1171" s="74">
        <v>8.163123644251627E-2</v>
      </c>
      <c r="I1171" s="74"/>
      <c r="J1171" s="74">
        <v>0</v>
      </c>
      <c r="K1171" s="74">
        <v>0</v>
      </c>
      <c r="L1171" s="74">
        <v>0</v>
      </c>
      <c r="M1171" s="74">
        <v>0</v>
      </c>
      <c r="N1171" s="74">
        <v>3.5711236442516268</v>
      </c>
    </row>
    <row r="1172" spans="1:14" x14ac:dyDescent="0.25">
      <c r="A1172" t="e">
        <f>VLOOKUP(VALUE(RIGHT(B1172,4)),'Waste Lookups'!$B$1:$C$295,2,FALSE)</f>
        <v>#N/A</v>
      </c>
      <c r="B1172" s="74" t="s">
        <v>3065</v>
      </c>
      <c r="C1172" s="74" t="s">
        <v>3066</v>
      </c>
      <c r="D1172" s="74">
        <v>0</v>
      </c>
      <c r="E1172" s="74">
        <v>19.535820000000001</v>
      </c>
      <c r="F1172" s="74">
        <v>0</v>
      </c>
      <c r="G1172" s="74">
        <v>0</v>
      </c>
      <c r="H1172" s="74">
        <v>0</v>
      </c>
      <c r="I1172" s="74"/>
      <c r="J1172" s="74">
        <v>0</v>
      </c>
      <c r="K1172" s="74">
        <v>14.251049999999999</v>
      </c>
      <c r="L1172" s="74">
        <v>0</v>
      </c>
      <c r="M1172" s="74">
        <v>0</v>
      </c>
      <c r="N1172" s="74">
        <v>0</v>
      </c>
    </row>
    <row r="1173" spans="1:14" x14ac:dyDescent="0.25">
      <c r="A1173" t="e">
        <f>VLOOKUP(VALUE(RIGHT(B1173,4)),'Waste Lookups'!$B$1:$C$295,2,FALSE)</f>
        <v>#N/A</v>
      </c>
      <c r="B1173" s="74" t="s">
        <v>3067</v>
      </c>
      <c r="C1173" s="74" t="s">
        <v>3068</v>
      </c>
      <c r="D1173" s="74">
        <v>0</v>
      </c>
      <c r="E1173" s="74">
        <v>31.22148</v>
      </c>
      <c r="F1173" s="74">
        <v>0</v>
      </c>
      <c r="G1173" s="74">
        <v>0</v>
      </c>
      <c r="H1173" s="74">
        <v>0</v>
      </c>
      <c r="I1173" s="74"/>
      <c r="J1173" s="74">
        <v>0</v>
      </c>
      <c r="K1173" s="74">
        <v>15.904185</v>
      </c>
      <c r="L1173" s="74">
        <v>0</v>
      </c>
      <c r="M1173" s="74">
        <v>0</v>
      </c>
      <c r="N1173" s="74">
        <v>0</v>
      </c>
    </row>
    <row r="1174" spans="1:14" x14ac:dyDescent="0.25">
      <c r="A1174" t="e">
        <f>VLOOKUP(VALUE(RIGHT(B1174,4)),'Waste Lookups'!$B$1:$C$295,2,FALSE)</f>
        <v>#N/A</v>
      </c>
      <c r="B1174" s="74" t="s">
        <v>3069</v>
      </c>
      <c r="C1174" s="74" t="s">
        <v>3070</v>
      </c>
      <c r="D1174" s="74">
        <v>0</v>
      </c>
      <c r="E1174" s="74">
        <v>2.3015399999999997</v>
      </c>
      <c r="F1174" s="74">
        <v>0</v>
      </c>
      <c r="G1174" s="74">
        <v>0</v>
      </c>
      <c r="H1174" s="74">
        <v>0</v>
      </c>
      <c r="I1174" s="74"/>
      <c r="J1174" s="74">
        <v>0</v>
      </c>
      <c r="K1174" s="74">
        <v>5.9195949999999993</v>
      </c>
      <c r="L1174" s="74">
        <v>0</v>
      </c>
      <c r="M1174" s="74">
        <v>0</v>
      </c>
      <c r="N1174" s="74">
        <v>0</v>
      </c>
    </row>
    <row r="1175" spans="1:14" x14ac:dyDescent="0.25">
      <c r="A1175" t="e">
        <f>VLOOKUP(VALUE(RIGHT(B1175,4)),'Waste Lookups'!$B$1:$C$295,2,FALSE)</f>
        <v>#N/A</v>
      </c>
      <c r="B1175" s="74" t="s">
        <v>3071</v>
      </c>
      <c r="C1175" s="74" t="s">
        <v>3072</v>
      </c>
      <c r="D1175" s="74">
        <v>0</v>
      </c>
      <c r="E1175" s="74">
        <v>6.9487199999999998</v>
      </c>
      <c r="F1175" s="74">
        <v>0</v>
      </c>
      <c r="G1175" s="74">
        <v>0</v>
      </c>
      <c r="H1175" s="74">
        <v>8.163123644251627E-2</v>
      </c>
      <c r="I1175" s="74"/>
      <c r="J1175" s="74">
        <v>0</v>
      </c>
      <c r="K1175" s="74">
        <v>4.7599214303926569</v>
      </c>
      <c r="L1175" s="74">
        <v>0</v>
      </c>
      <c r="M1175" s="74">
        <v>0</v>
      </c>
      <c r="N1175" s="74">
        <v>5.5917963557631227E-2</v>
      </c>
    </row>
    <row r="1176" spans="1:14" x14ac:dyDescent="0.25">
      <c r="A1176" t="e">
        <f>VLOOKUP(VALUE(RIGHT(B1176,4)),'Waste Lookups'!$B$1:$C$295,2,FALSE)</f>
        <v>#N/A</v>
      </c>
      <c r="B1176" s="74" t="s">
        <v>3073</v>
      </c>
      <c r="C1176" s="74" t="s">
        <v>3074</v>
      </c>
      <c r="D1176" s="74">
        <v>0</v>
      </c>
      <c r="E1176" s="74">
        <v>0.65658000000000005</v>
      </c>
      <c r="F1176" s="74">
        <v>0</v>
      </c>
      <c r="G1176" s="74">
        <v>0</v>
      </c>
      <c r="H1176" s="74">
        <v>0</v>
      </c>
      <c r="I1176" s="74"/>
      <c r="J1176" s="74">
        <v>0</v>
      </c>
      <c r="K1176" s="74">
        <v>3.8419699999999999</v>
      </c>
      <c r="L1176" s="74">
        <v>0</v>
      </c>
      <c r="M1176" s="74">
        <v>0</v>
      </c>
      <c r="N1176" s="74">
        <v>0</v>
      </c>
    </row>
    <row r="1177" spans="1:14" x14ac:dyDescent="0.25">
      <c r="A1177" t="str">
        <f>VLOOKUP(VALUE(RIGHT(B1177,4)),'Waste Lookups'!$B$1:$C$295,2,FALSE)</f>
        <v>The Lodge</v>
      </c>
      <c r="B1177" s="74" t="s">
        <v>790</v>
      </c>
      <c r="C1177" s="74" t="s">
        <v>3075</v>
      </c>
      <c r="D1177" s="74">
        <v>0</v>
      </c>
      <c r="E1177" s="74">
        <v>9.8281200000000002</v>
      </c>
      <c r="F1177" s="74">
        <v>0</v>
      </c>
      <c r="G1177" s="74">
        <v>0</v>
      </c>
      <c r="H1177" s="74">
        <v>8.163123644251627E-2</v>
      </c>
      <c r="I1177" s="74"/>
      <c r="J1177" s="74">
        <v>0</v>
      </c>
      <c r="K1177" s="74">
        <v>6.3665283773619068</v>
      </c>
      <c r="L1177" s="74">
        <v>0</v>
      </c>
      <c r="M1177" s="74">
        <v>0</v>
      </c>
      <c r="N1177" s="74">
        <v>5.2879653818880851E-2</v>
      </c>
    </row>
    <row r="1178" spans="1:14" x14ac:dyDescent="0.25">
      <c r="A1178" t="e">
        <f>VLOOKUP(VALUE(RIGHT(B1178,4)),'Waste Lookups'!$B$1:$C$295,2,FALSE)</f>
        <v>#N/A</v>
      </c>
      <c r="B1178" s="74" t="s">
        <v>3076</v>
      </c>
      <c r="C1178" s="74" t="s">
        <v>3077</v>
      </c>
      <c r="D1178" s="74">
        <v>0</v>
      </c>
      <c r="E1178" s="74">
        <v>25.983120000000003</v>
      </c>
      <c r="F1178" s="74">
        <v>0</v>
      </c>
      <c r="G1178" s="74">
        <v>0</v>
      </c>
      <c r="H1178" s="74">
        <v>0</v>
      </c>
      <c r="I1178" s="74"/>
      <c r="J1178" s="74">
        <v>0</v>
      </c>
      <c r="K1178" s="74">
        <v>19.042870000000001</v>
      </c>
      <c r="L1178" s="74">
        <v>0</v>
      </c>
      <c r="M1178" s="74">
        <v>0</v>
      </c>
      <c r="N1178" s="74">
        <v>0</v>
      </c>
    </row>
    <row r="1179" spans="1:14" x14ac:dyDescent="0.25">
      <c r="A1179" t="e">
        <f>VLOOKUP(VALUE(RIGHT(B1179,4)),'Waste Lookups'!$B$1:$C$295,2,FALSE)</f>
        <v>#N/A</v>
      </c>
      <c r="B1179" s="74" t="s">
        <v>3078</v>
      </c>
      <c r="C1179" s="74" t="s">
        <v>3079</v>
      </c>
      <c r="D1179" s="74">
        <v>0</v>
      </c>
      <c r="E1179" s="74">
        <v>9.2159999999999975</v>
      </c>
      <c r="F1179" s="74">
        <v>0</v>
      </c>
      <c r="G1179" s="74">
        <v>0</v>
      </c>
      <c r="H1179" s="74">
        <v>0</v>
      </c>
      <c r="I1179" s="74"/>
      <c r="J1179" s="74">
        <v>0</v>
      </c>
      <c r="K1179" s="74">
        <v>16.225000000000001</v>
      </c>
      <c r="L1179" s="74">
        <v>0</v>
      </c>
      <c r="M1179" s="74">
        <v>0</v>
      </c>
      <c r="N1179" s="74">
        <v>0</v>
      </c>
    </row>
    <row r="1180" spans="1:14" x14ac:dyDescent="0.25">
      <c r="A1180" t="e">
        <f>VLOOKUP(VALUE(RIGHT(B1180,4)),'Waste Lookups'!$B$1:$C$295,2,FALSE)</f>
        <v>#N/A</v>
      </c>
      <c r="B1180" s="74" t="s">
        <v>3080</v>
      </c>
      <c r="C1180" s="74" t="s">
        <v>3081</v>
      </c>
      <c r="D1180" s="74">
        <v>0</v>
      </c>
      <c r="E1180" s="74">
        <v>2.7593399999999999</v>
      </c>
      <c r="F1180" s="74">
        <v>0</v>
      </c>
      <c r="G1180" s="74">
        <v>0</v>
      </c>
      <c r="H1180" s="74">
        <v>0</v>
      </c>
      <c r="I1180" s="74"/>
      <c r="J1180" s="74">
        <v>0</v>
      </c>
      <c r="K1180" s="74">
        <v>0</v>
      </c>
      <c r="L1180" s="74">
        <v>0</v>
      </c>
      <c r="M1180" s="74">
        <v>0</v>
      </c>
      <c r="N1180" s="74">
        <v>0</v>
      </c>
    </row>
    <row r="1181" spans="1:14" x14ac:dyDescent="0.25">
      <c r="A1181" t="str">
        <f>VLOOKUP(VALUE(RIGHT(B1181,4)),'Waste Lookups'!$B$1:$C$295,2,FALSE)</f>
        <v>Sherwood House Bletchley</v>
      </c>
      <c r="B1181" s="74" t="s">
        <v>701</v>
      </c>
      <c r="C1181" s="74" t="s">
        <v>3082</v>
      </c>
      <c r="D1181" s="74">
        <v>0</v>
      </c>
      <c r="E1181" s="74">
        <v>0.83916000000000013</v>
      </c>
      <c r="F1181" s="74">
        <v>0</v>
      </c>
      <c r="G1181" s="74">
        <v>0</v>
      </c>
      <c r="H1181" s="74">
        <v>3.5296233484519819</v>
      </c>
      <c r="I1181" s="74"/>
      <c r="J1181" s="74">
        <v>0</v>
      </c>
      <c r="K1181" s="74">
        <v>6.6148651308432116E-2</v>
      </c>
      <c r="L1181" s="74">
        <v>0</v>
      </c>
      <c r="M1181" s="74">
        <v>0</v>
      </c>
      <c r="N1181" s="74">
        <v>0.27823040198156584</v>
      </c>
    </row>
    <row r="1182" spans="1:14" x14ac:dyDescent="0.25">
      <c r="A1182" t="e">
        <f>VLOOKUP(VALUE(RIGHT(B1182,4)),'Waste Lookups'!$B$1:$C$295,2,FALSE)</f>
        <v>#N/A</v>
      </c>
      <c r="B1182" s="74" t="s">
        <v>3083</v>
      </c>
      <c r="C1182" s="74" t="s">
        <v>3084</v>
      </c>
      <c r="D1182" s="74">
        <v>0</v>
      </c>
      <c r="E1182" s="74">
        <v>14.171999999999999</v>
      </c>
      <c r="F1182" s="74">
        <v>0</v>
      </c>
      <c r="G1182" s="74">
        <v>0</v>
      </c>
      <c r="H1182" s="74">
        <v>0</v>
      </c>
      <c r="I1182" s="74"/>
      <c r="J1182" s="74">
        <v>0</v>
      </c>
      <c r="K1182" s="74">
        <v>0</v>
      </c>
      <c r="L1182" s="74">
        <v>0</v>
      </c>
      <c r="M1182" s="74">
        <v>0</v>
      </c>
      <c r="N1182" s="74">
        <v>0</v>
      </c>
    </row>
    <row r="1183" spans="1:14" x14ac:dyDescent="0.25">
      <c r="A1183" t="e">
        <f>VLOOKUP(VALUE(RIGHT(B1183,4)),'Waste Lookups'!$B$1:$C$295,2,FALSE)</f>
        <v>#N/A</v>
      </c>
      <c r="B1183" s="74" t="s">
        <v>3085</v>
      </c>
      <c r="C1183" s="74" t="s">
        <v>3086</v>
      </c>
      <c r="D1183" s="74">
        <v>0</v>
      </c>
      <c r="E1183" s="74">
        <v>1.1882999999999999</v>
      </c>
      <c r="F1183" s="74">
        <v>0</v>
      </c>
      <c r="G1183" s="74">
        <v>1.6239599999999998</v>
      </c>
      <c r="H1183" s="74">
        <v>0</v>
      </c>
      <c r="I1183" s="74"/>
      <c r="J1183" s="74">
        <v>0</v>
      </c>
      <c r="K1183" s="74">
        <v>3.2062656661998989</v>
      </c>
      <c r="L1183" s="74">
        <v>0</v>
      </c>
      <c r="M1183" s="74">
        <v>4.3817615007001498</v>
      </c>
      <c r="N1183" s="74">
        <v>0</v>
      </c>
    </row>
    <row r="1184" spans="1:14" x14ac:dyDescent="0.25">
      <c r="A1184" t="e">
        <f>VLOOKUP(VALUE(RIGHT(B1184,4)),'Waste Lookups'!$B$1:$C$295,2,FALSE)</f>
        <v>#N/A</v>
      </c>
      <c r="B1184" s="74" t="s">
        <v>3087</v>
      </c>
      <c r="C1184" s="74" t="s">
        <v>3088</v>
      </c>
      <c r="D1184" s="74">
        <v>0</v>
      </c>
      <c r="E1184" s="74">
        <v>1.7274600000000002</v>
      </c>
      <c r="F1184" s="74">
        <v>0</v>
      </c>
      <c r="G1184" s="74">
        <v>1.31463</v>
      </c>
      <c r="H1184" s="74">
        <v>0</v>
      </c>
      <c r="I1184" s="74"/>
      <c r="J1184" s="74">
        <v>0</v>
      </c>
      <c r="K1184" s="74">
        <v>12.282070234342596</v>
      </c>
      <c r="L1184" s="74">
        <v>0</v>
      </c>
      <c r="M1184" s="74">
        <v>9.346889648486103</v>
      </c>
      <c r="N1184" s="74">
        <v>0</v>
      </c>
    </row>
    <row r="1185" spans="1:14" x14ac:dyDescent="0.25">
      <c r="A1185" t="e">
        <f>VLOOKUP(VALUE(RIGHT(B1185,4)),'Waste Lookups'!$B$1:$C$295,2,FALSE)</f>
        <v>#N/A</v>
      </c>
      <c r="B1185" s="74" t="s">
        <v>3089</v>
      </c>
      <c r="C1185" s="74" t="s">
        <v>3090</v>
      </c>
      <c r="D1185" s="74">
        <v>0</v>
      </c>
      <c r="E1185" s="74">
        <v>3.1458600000000003</v>
      </c>
      <c r="F1185" s="74">
        <v>0</v>
      </c>
      <c r="G1185" s="74">
        <v>0.85797000000000001</v>
      </c>
      <c r="H1185" s="74">
        <v>0</v>
      </c>
      <c r="I1185" s="74"/>
      <c r="J1185" s="74">
        <v>0</v>
      </c>
      <c r="K1185" s="74">
        <v>8.153479960864372</v>
      </c>
      <c r="L1185" s="74">
        <v>0</v>
      </c>
      <c r="M1185" s="74">
        <v>2.2236975587034404</v>
      </c>
      <c r="N1185" s="74">
        <v>0</v>
      </c>
    </row>
    <row r="1186" spans="1:14" x14ac:dyDescent="0.25">
      <c r="A1186" t="e">
        <f>VLOOKUP(VALUE(RIGHT(B1186,4)),'Waste Lookups'!$B$1:$C$295,2,FALSE)</f>
        <v>#N/A</v>
      </c>
      <c r="B1186" s="74" t="s">
        <v>3091</v>
      </c>
      <c r="C1186" s="74" t="s">
        <v>3092</v>
      </c>
      <c r="D1186" s="74">
        <v>0</v>
      </c>
      <c r="E1186" s="74">
        <v>1.5013799999999997</v>
      </c>
      <c r="F1186" s="74">
        <v>0</v>
      </c>
      <c r="G1186" s="74">
        <v>0.77310000000000001</v>
      </c>
      <c r="H1186" s="74">
        <v>0</v>
      </c>
      <c r="I1186" s="74"/>
      <c r="J1186" s="74">
        <v>0</v>
      </c>
      <c r="K1186" s="74">
        <v>3.788751539880403</v>
      </c>
      <c r="L1186" s="74">
        <v>0</v>
      </c>
      <c r="M1186" s="74">
        <v>1.950927690179395</v>
      </c>
      <c r="N1186" s="74">
        <v>0</v>
      </c>
    </row>
    <row r="1187" spans="1:14" x14ac:dyDescent="0.25">
      <c r="A1187" t="e">
        <f>VLOOKUP(VALUE(RIGHT(B1187,4)),'Waste Lookups'!$B$1:$C$295,2,FALSE)</f>
        <v>#N/A</v>
      </c>
      <c r="B1187" s="74" t="s">
        <v>3093</v>
      </c>
      <c r="C1187" s="74" t="s">
        <v>3094</v>
      </c>
      <c r="D1187" s="74">
        <v>0</v>
      </c>
      <c r="E1187" s="74">
        <v>3.7768799999999998</v>
      </c>
      <c r="F1187" s="74">
        <v>0</v>
      </c>
      <c r="G1187" s="74">
        <v>4.5731700000000002</v>
      </c>
      <c r="H1187" s="74">
        <v>0</v>
      </c>
      <c r="I1187" s="74"/>
      <c r="J1187" s="74">
        <v>0</v>
      </c>
      <c r="K1187" s="74">
        <v>6.3383751707527161</v>
      </c>
      <c r="L1187" s="74">
        <v>0</v>
      </c>
      <c r="M1187" s="74">
        <v>7.6747122438709221</v>
      </c>
      <c r="N1187" s="74">
        <v>0</v>
      </c>
    </row>
    <row r="1188" spans="1:14" x14ac:dyDescent="0.25">
      <c r="A1188" t="e">
        <f>VLOOKUP(VALUE(RIGHT(B1188,4)),'Waste Lookups'!$B$1:$C$295,2,FALSE)</f>
        <v>#N/A</v>
      </c>
      <c r="B1188" s="74" t="s">
        <v>3095</v>
      </c>
      <c r="C1188" s="74" t="s">
        <v>3096</v>
      </c>
      <c r="D1188" s="74">
        <v>0</v>
      </c>
      <c r="E1188" s="74">
        <v>0.8895599999999998</v>
      </c>
      <c r="F1188" s="74">
        <v>0</v>
      </c>
      <c r="G1188" s="74">
        <v>0.85058999999999996</v>
      </c>
      <c r="H1188" s="74">
        <v>0</v>
      </c>
      <c r="I1188" s="74"/>
      <c r="J1188" s="74">
        <v>0</v>
      </c>
      <c r="K1188" s="74">
        <v>3.122831214318079</v>
      </c>
      <c r="L1188" s="74">
        <v>0</v>
      </c>
      <c r="M1188" s="74">
        <v>2.9860256785228816</v>
      </c>
      <c r="N1188" s="74">
        <v>0</v>
      </c>
    </row>
    <row r="1189" spans="1:14" x14ac:dyDescent="0.25">
      <c r="A1189" t="str">
        <f>VLOOKUP(VALUE(RIGHT(B1189,4)),'Waste Lookups'!$B$1:$C$295,2,FALSE)</f>
        <v>Fosse House</v>
      </c>
      <c r="B1189" s="74" t="s">
        <v>712</v>
      </c>
      <c r="C1189" s="74" t="s">
        <v>3097</v>
      </c>
      <c r="D1189" s="74">
        <v>0</v>
      </c>
      <c r="E1189" s="74">
        <v>1.5716399999999999</v>
      </c>
      <c r="F1189" s="74">
        <v>0</v>
      </c>
      <c r="G1189" s="74">
        <v>0.31842000000000004</v>
      </c>
      <c r="H1189" s="74">
        <v>0</v>
      </c>
      <c r="I1189" s="74"/>
      <c r="J1189" s="74">
        <v>0</v>
      </c>
      <c r="K1189" s="74">
        <v>32.157293337145163</v>
      </c>
      <c r="L1189" s="74">
        <v>0</v>
      </c>
      <c r="M1189" s="74">
        <v>6.5151849942822553</v>
      </c>
      <c r="N1189" s="74">
        <v>0</v>
      </c>
    </row>
    <row r="1190" spans="1:14" x14ac:dyDescent="0.25">
      <c r="A1190" t="e">
        <f>VLOOKUP(VALUE(RIGHT(B1190,4)),'Waste Lookups'!$B$1:$C$295,2,FALSE)</f>
        <v>#N/A</v>
      </c>
      <c r="B1190" s="74" t="s">
        <v>3098</v>
      </c>
      <c r="C1190" s="74" t="s">
        <v>3099</v>
      </c>
      <c r="D1190" s="74">
        <v>0</v>
      </c>
      <c r="E1190" s="74">
        <v>9.1265999999999998</v>
      </c>
      <c r="F1190" s="74">
        <v>0</v>
      </c>
      <c r="G1190" s="74">
        <v>0.69596999999999998</v>
      </c>
      <c r="H1190" s="74">
        <v>0</v>
      </c>
      <c r="I1190" s="74"/>
      <c r="J1190" s="74">
        <v>0</v>
      </c>
      <c r="K1190" s="74">
        <v>49.480247810977026</v>
      </c>
      <c r="L1190" s="74">
        <v>0</v>
      </c>
      <c r="M1190" s="74">
        <v>3.7732307835344683</v>
      </c>
      <c r="N1190" s="74">
        <v>0</v>
      </c>
    </row>
    <row r="1191" spans="1:14" x14ac:dyDescent="0.25">
      <c r="A1191" t="e">
        <f>VLOOKUP(VALUE(RIGHT(B1191,4)),'Waste Lookups'!$B$1:$C$295,2,FALSE)</f>
        <v>#N/A</v>
      </c>
      <c r="B1191" s="74" t="s">
        <v>3100</v>
      </c>
      <c r="C1191" s="74" t="s">
        <v>3101</v>
      </c>
      <c r="D1191" s="74">
        <v>0</v>
      </c>
      <c r="E1191" s="74">
        <v>1.54464</v>
      </c>
      <c r="F1191" s="74">
        <v>0</v>
      </c>
      <c r="G1191" s="74">
        <v>2.6664299999999996</v>
      </c>
      <c r="H1191" s="74">
        <v>0</v>
      </c>
      <c r="I1191" s="74"/>
      <c r="J1191" s="74">
        <v>0</v>
      </c>
      <c r="K1191" s="74">
        <v>3.9362478828267511</v>
      </c>
      <c r="L1191" s="74">
        <v>0</v>
      </c>
      <c r="M1191" s="74">
        <v>6.7949356757598744</v>
      </c>
      <c r="N1191" s="74">
        <v>0</v>
      </c>
    </row>
    <row r="1192" spans="1:14" x14ac:dyDescent="0.25">
      <c r="A1192" t="e">
        <f>VLOOKUP(VALUE(RIGHT(B1192,4)),'Waste Lookups'!$B$1:$C$295,2,FALSE)</f>
        <v>#N/A</v>
      </c>
      <c r="B1192" s="74" t="s">
        <v>3102</v>
      </c>
      <c r="C1192" s="74" t="s">
        <v>3103</v>
      </c>
      <c r="D1192" s="74">
        <v>0</v>
      </c>
      <c r="E1192" s="74">
        <v>2.7353400000000003</v>
      </c>
      <c r="F1192" s="74">
        <v>0</v>
      </c>
      <c r="G1192" s="74">
        <v>2.0105999999999997</v>
      </c>
      <c r="H1192" s="74">
        <v>0</v>
      </c>
      <c r="I1192" s="74"/>
      <c r="J1192" s="74">
        <v>0</v>
      </c>
      <c r="K1192" s="74">
        <v>8.2319657777974058</v>
      </c>
      <c r="L1192" s="74">
        <v>0</v>
      </c>
      <c r="M1192" s="74">
        <v>6.0508713333038902</v>
      </c>
      <c r="N1192" s="74">
        <v>0</v>
      </c>
    </row>
    <row r="1193" spans="1:14" x14ac:dyDescent="0.25">
      <c r="A1193" t="e">
        <f>VLOOKUP(VALUE(RIGHT(B1193,4)),'Waste Lookups'!$B$1:$C$295,2,FALSE)</f>
        <v>#N/A</v>
      </c>
      <c r="B1193" s="74" t="s">
        <v>3104</v>
      </c>
      <c r="C1193" s="74" t="s">
        <v>3105</v>
      </c>
      <c r="D1193" s="74">
        <v>0</v>
      </c>
      <c r="E1193" s="74">
        <v>0.57198000000000004</v>
      </c>
      <c r="F1193" s="74">
        <v>0</v>
      </c>
      <c r="G1193" s="74">
        <v>0.53622000000000003</v>
      </c>
      <c r="H1193" s="74">
        <v>0</v>
      </c>
      <c r="I1193" s="74"/>
      <c r="J1193" s="74">
        <v>0</v>
      </c>
      <c r="K1193" s="74">
        <v>7.243067676069975</v>
      </c>
      <c r="L1193" s="74">
        <v>0</v>
      </c>
      <c r="M1193" s="74">
        <v>6.7902334858950351</v>
      </c>
      <c r="N1193" s="74">
        <v>0</v>
      </c>
    </row>
    <row r="1194" spans="1:14" x14ac:dyDescent="0.25">
      <c r="A1194" t="e">
        <f>VLOOKUP(VALUE(RIGHT(B1194,4)),'Waste Lookups'!$B$1:$C$295,2,FALSE)</f>
        <v>#N/A</v>
      </c>
      <c r="B1194" s="74" t="s">
        <v>3106</v>
      </c>
      <c r="C1194" s="74" t="s">
        <v>3107</v>
      </c>
      <c r="D1194" s="74">
        <v>0</v>
      </c>
      <c r="E1194" s="74">
        <v>5.2974599999999992</v>
      </c>
      <c r="F1194" s="74">
        <v>0</v>
      </c>
      <c r="G1194" s="74">
        <v>4.2185699999999997</v>
      </c>
      <c r="H1194" s="74">
        <v>0</v>
      </c>
      <c r="I1194" s="74"/>
      <c r="J1194" s="74">
        <v>0</v>
      </c>
      <c r="K1194" s="74">
        <v>12.707942770190284</v>
      </c>
      <c r="L1194" s="74">
        <v>0</v>
      </c>
      <c r="M1194" s="74">
        <v>10.119820844714569</v>
      </c>
      <c r="N1194" s="74">
        <v>0</v>
      </c>
    </row>
    <row r="1195" spans="1:14" x14ac:dyDescent="0.25">
      <c r="A1195" t="e">
        <f>VLOOKUP(VALUE(RIGHT(B1195,4)),'Waste Lookups'!$B$1:$C$295,2,FALSE)</f>
        <v>#N/A</v>
      </c>
      <c r="B1195" s="74" t="s">
        <v>3108</v>
      </c>
      <c r="C1195" s="74" t="s">
        <v>3109</v>
      </c>
      <c r="D1195" s="74">
        <v>0</v>
      </c>
      <c r="E1195" s="74">
        <v>13.893540000000002</v>
      </c>
      <c r="F1195" s="74">
        <v>0</v>
      </c>
      <c r="G1195" s="74">
        <v>4.7965499999999999</v>
      </c>
      <c r="H1195" s="74">
        <v>0</v>
      </c>
      <c r="I1195" s="74"/>
      <c r="J1195" s="74">
        <v>0</v>
      </c>
      <c r="K1195" s="74">
        <v>53.467872497156435</v>
      </c>
      <c r="L1195" s="74">
        <v>0</v>
      </c>
      <c r="M1195" s="74">
        <v>18.459033754265342</v>
      </c>
      <c r="N1195" s="74">
        <v>0</v>
      </c>
    </row>
    <row r="1196" spans="1:14" x14ac:dyDescent="0.25">
      <c r="A1196" t="e">
        <f>VLOOKUP(VALUE(RIGHT(B1196,4)),'Waste Lookups'!$B$1:$C$295,2,FALSE)</f>
        <v>#N/A</v>
      </c>
      <c r="B1196" s="74" t="s">
        <v>3110</v>
      </c>
      <c r="C1196" s="74" t="s">
        <v>3111</v>
      </c>
      <c r="D1196" s="74">
        <v>0</v>
      </c>
      <c r="E1196" s="74">
        <v>7.7879999999999991E-2</v>
      </c>
      <c r="F1196" s="74">
        <v>0</v>
      </c>
      <c r="G1196" s="74">
        <v>0.23877000000000001</v>
      </c>
      <c r="H1196" s="74">
        <v>0</v>
      </c>
      <c r="I1196" s="74"/>
      <c r="J1196" s="74">
        <v>0</v>
      </c>
      <c r="K1196" s="74">
        <v>0.68448392305745365</v>
      </c>
      <c r="L1196" s="74">
        <v>0</v>
      </c>
      <c r="M1196" s="74">
        <v>2.0985391154138187</v>
      </c>
      <c r="N1196" s="74">
        <v>0</v>
      </c>
    </row>
    <row r="1197" spans="1:14" x14ac:dyDescent="0.25">
      <c r="A1197" t="e">
        <f>VLOOKUP(VALUE(RIGHT(B1197,4)),'Waste Lookups'!$B$1:$C$295,2,FALSE)</f>
        <v>#N/A</v>
      </c>
      <c r="B1197" s="74" t="s">
        <v>3112</v>
      </c>
      <c r="C1197" s="74" t="s">
        <v>3113</v>
      </c>
      <c r="D1197" s="74">
        <v>0</v>
      </c>
      <c r="E1197" s="74">
        <v>2.3228400000000002</v>
      </c>
      <c r="F1197" s="74">
        <v>0</v>
      </c>
      <c r="G1197" s="74">
        <v>1.35693</v>
      </c>
      <c r="H1197" s="74">
        <v>0</v>
      </c>
      <c r="I1197" s="74"/>
      <c r="J1197" s="74">
        <v>0</v>
      </c>
      <c r="K1197" s="74">
        <v>8.5658080654756361</v>
      </c>
      <c r="L1197" s="74">
        <v>0</v>
      </c>
      <c r="M1197" s="74">
        <v>5.0038754017865443</v>
      </c>
      <c r="N1197" s="74">
        <v>0</v>
      </c>
    </row>
    <row r="1198" spans="1:14" x14ac:dyDescent="0.25">
      <c r="A1198" t="e">
        <f>VLOOKUP(VALUE(RIGHT(B1198,4)),'Waste Lookups'!$B$1:$C$295,2,FALSE)</f>
        <v>#N/A</v>
      </c>
      <c r="B1198" s="74" t="s">
        <v>3114</v>
      </c>
      <c r="C1198" s="74" t="s">
        <v>3115</v>
      </c>
      <c r="D1198" s="74">
        <v>0</v>
      </c>
      <c r="E1198" s="74">
        <v>2.7868200000000001</v>
      </c>
      <c r="F1198" s="74">
        <v>0</v>
      </c>
      <c r="G1198" s="74">
        <v>0.69596999999999998</v>
      </c>
      <c r="H1198" s="74">
        <v>0</v>
      </c>
      <c r="I1198" s="74"/>
      <c r="J1198" s="74">
        <v>0</v>
      </c>
      <c r="K1198" s="74">
        <v>13.850348806478404</v>
      </c>
      <c r="L1198" s="74">
        <v>0</v>
      </c>
      <c r="M1198" s="74">
        <v>3.4589342902823921</v>
      </c>
      <c r="N1198" s="74">
        <v>0</v>
      </c>
    </row>
    <row r="1199" spans="1:14" x14ac:dyDescent="0.25">
      <c r="A1199" t="e">
        <f>VLOOKUP(VALUE(RIGHT(B1199,4)),'Waste Lookups'!$B$1:$C$295,2,FALSE)</f>
        <v>#N/A</v>
      </c>
      <c r="B1199" s="74" t="s">
        <v>3116</v>
      </c>
      <c r="C1199" s="74" t="s">
        <v>3117</v>
      </c>
      <c r="D1199" s="74">
        <v>0</v>
      </c>
      <c r="E1199" s="74">
        <v>13.390439999999998</v>
      </c>
      <c r="F1199" s="74">
        <v>0</v>
      </c>
      <c r="G1199" s="74">
        <v>3.1838399999999996</v>
      </c>
      <c r="H1199" s="74">
        <v>0</v>
      </c>
      <c r="I1199" s="74"/>
      <c r="J1199" s="74">
        <v>0</v>
      </c>
      <c r="K1199" s="74">
        <v>27.534060959891701</v>
      </c>
      <c r="L1199" s="74">
        <v>0</v>
      </c>
      <c r="M1199" s="74">
        <v>6.546763560162443</v>
      </c>
      <c r="N1199" s="74">
        <v>0</v>
      </c>
    </row>
    <row r="1200" spans="1:14" x14ac:dyDescent="0.25">
      <c r="A1200" t="e">
        <f>VLOOKUP(VALUE(RIGHT(B1200,4)),'Waste Lookups'!$B$1:$C$295,2,FALSE)</f>
        <v>#N/A</v>
      </c>
      <c r="B1200" s="74" t="s">
        <v>3118</v>
      </c>
      <c r="C1200" s="74" t="s">
        <v>3119</v>
      </c>
      <c r="D1200" s="74">
        <v>0</v>
      </c>
      <c r="E1200" s="74">
        <v>1.3184400000000001</v>
      </c>
      <c r="F1200" s="74">
        <v>0</v>
      </c>
      <c r="G1200" s="74">
        <v>1.5363</v>
      </c>
      <c r="H1200" s="74">
        <v>0</v>
      </c>
      <c r="I1200" s="74"/>
      <c r="J1200" s="74">
        <v>0</v>
      </c>
      <c r="K1200" s="74">
        <v>4.0097569211658639</v>
      </c>
      <c r="L1200" s="74">
        <v>0</v>
      </c>
      <c r="M1200" s="74">
        <v>4.6723321182512034</v>
      </c>
      <c r="N1200" s="74">
        <v>0</v>
      </c>
    </row>
    <row r="1201" spans="1:14" x14ac:dyDescent="0.25">
      <c r="A1201" t="e">
        <f>VLOOKUP(VALUE(RIGHT(B1201,4)),'Waste Lookups'!$B$1:$C$295,2,FALSE)</f>
        <v>#N/A</v>
      </c>
      <c r="B1201" s="74" t="s">
        <v>3120</v>
      </c>
      <c r="C1201" s="74" t="s">
        <v>3121</v>
      </c>
      <c r="D1201" s="74">
        <v>0.18909090909090912</v>
      </c>
      <c r="E1201" s="74">
        <v>2.9697600000000004</v>
      </c>
      <c r="F1201" s="74">
        <v>0</v>
      </c>
      <c r="G1201" s="74">
        <v>0.69596999999999998</v>
      </c>
      <c r="H1201" s="74">
        <v>0</v>
      </c>
      <c r="I1201" s="74"/>
      <c r="J1201" s="74">
        <v>1.2510264853708111</v>
      </c>
      <c r="K1201" s="74">
        <v>19.647948349587992</v>
      </c>
      <c r="L1201" s="74">
        <v>0</v>
      </c>
      <c r="M1201" s="74">
        <v>4.6045413140667089</v>
      </c>
      <c r="N1201" s="74">
        <v>0</v>
      </c>
    </row>
    <row r="1202" spans="1:14" x14ac:dyDescent="0.25">
      <c r="A1202" t="e">
        <f>VLOOKUP(VALUE(RIGHT(B1202,4)),'Waste Lookups'!$B$1:$C$295,2,FALSE)</f>
        <v>#N/A</v>
      </c>
      <c r="B1202" s="74" t="s">
        <v>3122</v>
      </c>
      <c r="C1202" s="74" t="s">
        <v>3123</v>
      </c>
      <c r="D1202" s="74">
        <v>0</v>
      </c>
      <c r="E1202" s="74">
        <v>4.2900000000000008E-2</v>
      </c>
      <c r="F1202" s="74">
        <v>0</v>
      </c>
      <c r="G1202" s="74">
        <v>0</v>
      </c>
      <c r="H1202" s="74">
        <v>0</v>
      </c>
      <c r="I1202" s="74"/>
      <c r="J1202" s="74">
        <v>0</v>
      </c>
      <c r="K1202" s="74">
        <v>7.8674750000000007</v>
      </c>
      <c r="L1202" s="74">
        <v>0</v>
      </c>
      <c r="M1202" s="74">
        <v>0</v>
      </c>
      <c r="N1202" s="74">
        <v>0</v>
      </c>
    </row>
    <row r="1203" spans="1:14" x14ac:dyDescent="0.25">
      <c r="A1203" t="e">
        <f>VLOOKUP(VALUE(RIGHT(B1203,4)),'Waste Lookups'!$B$1:$C$295,2,FALSE)</f>
        <v>#N/A</v>
      </c>
      <c r="B1203" s="74" t="s">
        <v>3124</v>
      </c>
      <c r="C1203" s="74" t="s">
        <v>3125</v>
      </c>
      <c r="D1203" s="74">
        <v>0</v>
      </c>
      <c r="E1203" s="74">
        <v>0</v>
      </c>
      <c r="F1203" s="74">
        <v>0</v>
      </c>
      <c r="G1203" s="74">
        <v>0</v>
      </c>
      <c r="H1203" s="74">
        <v>0</v>
      </c>
      <c r="I1203" s="74"/>
      <c r="J1203" s="74">
        <v>0</v>
      </c>
      <c r="K1203" s="74">
        <v>0</v>
      </c>
      <c r="L1203" s="74">
        <v>0</v>
      </c>
      <c r="M1203" s="74">
        <v>0</v>
      </c>
      <c r="N1203" s="74">
        <v>0</v>
      </c>
    </row>
    <row r="1204" spans="1:14" x14ac:dyDescent="0.25">
      <c r="A1204" t="e">
        <f>VLOOKUP(VALUE(RIGHT(B1204,4)),'Waste Lookups'!$B$1:$C$295,2,FALSE)</f>
        <v>#N/A</v>
      </c>
      <c r="B1204" s="74" t="s">
        <v>3126</v>
      </c>
      <c r="C1204" s="74" t="s">
        <v>3127</v>
      </c>
      <c r="D1204" s="74">
        <v>0</v>
      </c>
      <c r="E1204" s="74">
        <v>0.34079999999999994</v>
      </c>
      <c r="F1204" s="74">
        <v>0</v>
      </c>
      <c r="G1204" s="74">
        <v>0.38834999999999997</v>
      </c>
      <c r="H1204" s="74">
        <v>0</v>
      </c>
      <c r="I1204" s="74"/>
      <c r="J1204" s="74">
        <v>0</v>
      </c>
      <c r="K1204" s="74">
        <v>2.6693556378189092</v>
      </c>
      <c r="L1204" s="74">
        <v>0</v>
      </c>
      <c r="M1204" s="74">
        <v>3.0417965432716358</v>
      </c>
      <c r="N1204" s="74">
        <v>0</v>
      </c>
    </row>
    <row r="1205" spans="1:14" x14ac:dyDescent="0.25">
      <c r="A1205" t="str">
        <f>VLOOKUP(VALUE(RIGHT(B1205,4)),'Waste Lookups'!$B$1:$C$295,2,FALSE)</f>
        <v>Cross OCliff Court</v>
      </c>
      <c r="B1205" s="74" t="s">
        <v>713</v>
      </c>
      <c r="C1205" s="74" t="s">
        <v>3128</v>
      </c>
      <c r="D1205" s="74">
        <v>0</v>
      </c>
      <c r="E1205" s="74">
        <v>0.10464</v>
      </c>
      <c r="F1205" s="74">
        <v>0</v>
      </c>
      <c r="G1205" s="74">
        <v>0</v>
      </c>
      <c r="H1205" s="74">
        <v>0</v>
      </c>
      <c r="I1205" s="74"/>
      <c r="J1205" s="74">
        <v>0</v>
      </c>
      <c r="K1205" s="74">
        <v>20.695730000000001</v>
      </c>
      <c r="L1205" s="74">
        <v>0</v>
      </c>
      <c r="M1205" s="74">
        <v>0</v>
      </c>
      <c r="N1205" s="74">
        <v>0</v>
      </c>
    </row>
    <row r="1206" spans="1:14" x14ac:dyDescent="0.25">
      <c r="A1206" t="e">
        <f>VLOOKUP(VALUE(RIGHT(B1206,4)),'Waste Lookups'!$B$1:$C$295,2,FALSE)</f>
        <v>#N/A</v>
      </c>
      <c r="B1206" s="74" t="s">
        <v>3129</v>
      </c>
      <c r="C1206" s="74" t="s">
        <v>3130</v>
      </c>
      <c r="D1206" s="74">
        <v>0</v>
      </c>
      <c r="E1206" s="74">
        <v>0</v>
      </c>
      <c r="F1206" s="74">
        <v>0</v>
      </c>
      <c r="G1206" s="74">
        <v>0</v>
      </c>
      <c r="H1206" s="74">
        <v>0</v>
      </c>
      <c r="I1206" s="74"/>
      <c r="J1206" s="74">
        <v>0</v>
      </c>
      <c r="K1206" s="74">
        <v>0</v>
      </c>
      <c r="L1206" s="74">
        <v>0</v>
      </c>
      <c r="M1206" s="74">
        <v>0</v>
      </c>
      <c r="N1206" s="74">
        <v>0</v>
      </c>
    </row>
    <row r="1207" spans="1:14" x14ac:dyDescent="0.25">
      <c r="A1207" t="str">
        <f>VLOOKUP(VALUE(RIGHT(B1207,4)),'Waste Lookups'!$B$1:$C$295,2,FALSE)</f>
        <v>Fen House</v>
      </c>
      <c r="B1207" s="74" t="s">
        <v>714</v>
      </c>
      <c r="C1207" s="74" t="s">
        <v>3131</v>
      </c>
      <c r="D1207" s="74">
        <v>0</v>
      </c>
      <c r="E1207" s="74">
        <v>4.2900000000000008E-2</v>
      </c>
      <c r="F1207" s="74">
        <v>0</v>
      </c>
      <c r="G1207" s="74">
        <v>0</v>
      </c>
      <c r="H1207" s="74">
        <v>0</v>
      </c>
      <c r="I1207" s="74"/>
      <c r="J1207" s="74">
        <v>0</v>
      </c>
      <c r="K1207" s="74">
        <v>29.841514999999994</v>
      </c>
      <c r="L1207" s="74">
        <v>0</v>
      </c>
      <c r="M1207" s="74">
        <v>0</v>
      </c>
      <c r="N1207" s="74">
        <v>0</v>
      </c>
    </row>
    <row r="1208" spans="1:14" x14ac:dyDescent="0.25">
      <c r="A1208" t="str">
        <f>VLOOKUP(VALUE(RIGHT(B1208,4)),'Waste Lookups'!$B$1:$C$295,2,FALSE)</f>
        <v>Fort Barnes Warehouse</v>
      </c>
      <c r="B1208" s="74" t="s">
        <v>715</v>
      </c>
      <c r="C1208" s="74" t="s">
        <v>3132</v>
      </c>
      <c r="D1208" s="74">
        <v>0</v>
      </c>
      <c r="E1208" s="74">
        <v>8.5800000000000008E-3</v>
      </c>
      <c r="F1208" s="74">
        <v>0</v>
      </c>
      <c r="G1208" s="74">
        <v>0</v>
      </c>
      <c r="H1208" s="74">
        <v>0</v>
      </c>
      <c r="I1208" s="74"/>
      <c r="J1208" s="74">
        <v>0</v>
      </c>
      <c r="K1208" s="74">
        <v>19.277004999999999</v>
      </c>
      <c r="L1208" s="74">
        <v>0</v>
      </c>
      <c r="M1208" s="74">
        <v>0</v>
      </c>
      <c r="N1208" s="74">
        <v>0</v>
      </c>
    </row>
    <row r="1209" spans="1:14" x14ac:dyDescent="0.25">
      <c r="A1209" t="e">
        <f>VLOOKUP(VALUE(RIGHT(B1209,4)),'Waste Lookups'!$B$1:$C$295,2,FALSE)</f>
        <v>#N/A</v>
      </c>
      <c r="B1209" s="74" t="s">
        <v>3133</v>
      </c>
      <c r="C1209" s="74" t="s">
        <v>3134</v>
      </c>
      <c r="D1209" s="74">
        <v>0</v>
      </c>
      <c r="E1209" s="74">
        <v>4.2900000000000008E-2</v>
      </c>
      <c r="F1209" s="74">
        <v>0</v>
      </c>
      <c r="G1209" s="74">
        <v>0</v>
      </c>
      <c r="H1209" s="74">
        <v>0</v>
      </c>
      <c r="I1209" s="74"/>
      <c r="J1209" s="74">
        <v>0</v>
      </c>
      <c r="K1209" s="74">
        <v>11.864379999999999</v>
      </c>
      <c r="L1209" s="74">
        <v>0</v>
      </c>
      <c r="M1209" s="74">
        <v>0</v>
      </c>
      <c r="N1209" s="74">
        <v>0</v>
      </c>
    </row>
    <row r="1210" spans="1:14" x14ac:dyDescent="0.25">
      <c r="A1210" t="e">
        <f>VLOOKUP(VALUE(RIGHT(B1210,4)),'Waste Lookups'!$B$1:$C$295,2,FALSE)</f>
        <v>#N/A</v>
      </c>
      <c r="B1210" s="74" t="s">
        <v>3135</v>
      </c>
      <c r="C1210" s="74" t="s">
        <v>3136</v>
      </c>
      <c r="D1210" s="74">
        <v>0</v>
      </c>
      <c r="E1210" s="74">
        <v>2.5739999999999999E-2</v>
      </c>
      <c r="F1210" s="74">
        <v>0</v>
      </c>
      <c r="G1210" s="74">
        <v>0</v>
      </c>
      <c r="H1210" s="74">
        <v>0</v>
      </c>
      <c r="I1210" s="74"/>
      <c r="J1210" s="74">
        <v>0</v>
      </c>
      <c r="K1210" s="74">
        <v>9.276959999999999</v>
      </c>
      <c r="L1210" s="74">
        <v>0</v>
      </c>
      <c r="M1210" s="74">
        <v>0</v>
      </c>
      <c r="N1210" s="74">
        <v>0</v>
      </c>
    </row>
    <row r="1211" spans="1:14" x14ac:dyDescent="0.25">
      <c r="A1211" t="e">
        <f>VLOOKUP(VALUE(RIGHT(B1211,4)),'Waste Lookups'!$B$1:$C$295,2,FALSE)</f>
        <v>#N/A</v>
      </c>
      <c r="B1211" s="74" t="s">
        <v>3137</v>
      </c>
      <c r="C1211" s="74" t="s">
        <v>3138</v>
      </c>
      <c r="D1211" s="74">
        <v>0</v>
      </c>
      <c r="E1211" s="74">
        <v>0</v>
      </c>
      <c r="F1211" s="74">
        <v>0</v>
      </c>
      <c r="G1211" s="74">
        <v>0</v>
      </c>
      <c r="H1211" s="74">
        <v>0</v>
      </c>
      <c r="I1211" s="74"/>
      <c r="J1211" s="74">
        <v>0</v>
      </c>
      <c r="K1211" s="74">
        <v>0</v>
      </c>
      <c r="L1211" s="74">
        <v>0</v>
      </c>
      <c r="M1211" s="74">
        <v>0</v>
      </c>
      <c r="N1211" s="74">
        <v>0</v>
      </c>
    </row>
    <row r="1212" spans="1:14" x14ac:dyDescent="0.25">
      <c r="A1212" t="e">
        <f>VLOOKUP(VALUE(RIGHT(B1212,4)),'Waste Lookups'!$B$1:$C$295,2,FALSE)</f>
        <v>#N/A</v>
      </c>
      <c r="B1212" s="74" t="s">
        <v>3139</v>
      </c>
      <c r="C1212" s="74" t="s">
        <v>3140</v>
      </c>
      <c r="D1212" s="74">
        <v>0</v>
      </c>
      <c r="E1212" s="74">
        <v>98.689259999999976</v>
      </c>
      <c r="F1212" s="74">
        <v>0</v>
      </c>
      <c r="G1212" s="74">
        <v>0</v>
      </c>
      <c r="H1212" s="74">
        <v>0</v>
      </c>
      <c r="I1212" s="74"/>
      <c r="J1212" s="74">
        <v>0</v>
      </c>
      <c r="K1212" s="74">
        <v>80.982110000000006</v>
      </c>
      <c r="L1212" s="74">
        <v>0</v>
      </c>
      <c r="M1212" s="74">
        <v>0</v>
      </c>
      <c r="N1212" s="74">
        <v>0</v>
      </c>
    </row>
    <row r="1213" spans="1:14" x14ac:dyDescent="0.25">
      <c r="A1213" t="e">
        <f>VLOOKUP(VALUE(RIGHT(B1213,4)),'Waste Lookups'!$B$1:$C$295,2,FALSE)</f>
        <v>#N/A</v>
      </c>
      <c r="B1213" s="74" t="s">
        <v>3141</v>
      </c>
      <c r="C1213" s="74" t="s">
        <v>3142</v>
      </c>
      <c r="D1213" s="74">
        <v>0</v>
      </c>
      <c r="E1213" s="74">
        <v>0.28692000000000001</v>
      </c>
      <c r="F1213" s="74">
        <v>0</v>
      </c>
      <c r="G1213" s="74">
        <v>0.77822999999999987</v>
      </c>
      <c r="H1213" s="74">
        <v>0</v>
      </c>
      <c r="I1213" s="74"/>
      <c r="J1213" s="74">
        <v>0</v>
      </c>
      <c r="K1213" s="74">
        <v>2.5035402695658648</v>
      </c>
      <c r="L1213" s="74">
        <v>0</v>
      </c>
      <c r="M1213" s="74">
        <v>6.7904995956512018</v>
      </c>
      <c r="N1213" s="74">
        <v>0</v>
      </c>
    </row>
    <row r="1214" spans="1:14" x14ac:dyDescent="0.25">
      <c r="A1214" t="str">
        <f>VLOOKUP(VALUE(RIGHT(B1214,4)),'Waste Lookups'!$B$1:$C$295,2,FALSE)</f>
        <v>North Hykeham Health Centre</v>
      </c>
      <c r="B1214" s="74" t="s">
        <v>794</v>
      </c>
      <c r="C1214" s="74" t="s">
        <v>3143</v>
      </c>
      <c r="D1214" s="74">
        <v>0</v>
      </c>
      <c r="E1214" s="74">
        <v>4.2900000000000008E-2</v>
      </c>
      <c r="F1214" s="74">
        <v>0</v>
      </c>
      <c r="G1214" s="74">
        <v>0</v>
      </c>
      <c r="H1214" s="74">
        <v>0</v>
      </c>
      <c r="I1214" s="74"/>
      <c r="J1214" s="74">
        <v>0</v>
      </c>
      <c r="K1214" s="74">
        <v>11.788590000000001</v>
      </c>
      <c r="L1214" s="74">
        <v>0</v>
      </c>
      <c r="M1214" s="74">
        <v>0</v>
      </c>
      <c r="N1214" s="74">
        <v>0</v>
      </c>
    </row>
    <row r="1215" spans="1:14" x14ac:dyDescent="0.25">
      <c r="A1215" t="e">
        <f>VLOOKUP(VALUE(RIGHT(B1215,4)),'Waste Lookups'!$B$1:$C$295,2,FALSE)</f>
        <v>#N/A</v>
      </c>
      <c r="B1215" s="74" t="s">
        <v>3144</v>
      </c>
      <c r="C1215" s="74" t="s">
        <v>3145</v>
      </c>
      <c r="D1215" s="74">
        <v>0</v>
      </c>
      <c r="E1215" s="74">
        <v>8.5800000000000008E-3</v>
      </c>
      <c r="F1215" s="74">
        <v>0</v>
      </c>
      <c r="G1215" s="74">
        <v>0</v>
      </c>
      <c r="H1215" s="74">
        <v>0</v>
      </c>
      <c r="I1215" s="74"/>
      <c r="J1215" s="74">
        <v>0</v>
      </c>
      <c r="K1215" s="74">
        <v>0.12402500000000001</v>
      </c>
      <c r="L1215" s="74">
        <v>0</v>
      </c>
      <c r="M1215" s="74">
        <v>0</v>
      </c>
      <c r="N1215" s="74">
        <v>0</v>
      </c>
    </row>
    <row r="1216" spans="1:14" x14ac:dyDescent="0.25">
      <c r="A1216" t="str">
        <f>VLOOKUP(VALUE(RIGHT(B1216,4)),'Waste Lookups'!$B$1:$C$295,2,FALSE)</f>
        <v>Skegness Health Clinic</v>
      </c>
      <c r="B1216" s="74" t="s">
        <v>3146</v>
      </c>
      <c r="C1216" s="74" t="s">
        <v>3147</v>
      </c>
      <c r="D1216" s="74">
        <v>0</v>
      </c>
      <c r="E1216" s="74">
        <v>2.5739999999999999E-2</v>
      </c>
      <c r="F1216" s="74">
        <v>0</v>
      </c>
      <c r="G1216" s="74">
        <v>0</v>
      </c>
      <c r="H1216" s="74">
        <v>0</v>
      </c>
      <c r="I1216" s="74"/>
      <c r="J1216" s="74">
        <v>0</v>
      </c>
      <c r="K1216" s="74">
        <v>10.453575000000001</v>
      </c>
      <c r="L1216" s="74">
        <v>0</v>
      </c>
      <c r="M1216" s="74">
        <v>0</v>
      </c>
      <c r="N1216" s="74">
        <v>0</v>
      </c>
    </row>
    <row r="1217" spans="1:14" x14ac:dyDescent="0.25">
      <c r="A1217" t="e">
        <f>VLOOKUP(VALUE(RIGHT(B1217,4)),'Waste Lookups'!$B$1:$C$295,2,FALSE)</f>
        <v>#N/A</v>
      </c>
      <c r="B1217" s="74" t="s">
        <v>3148</v>
      </c>
      <c r="C1217" s="74" t="s">
        <v>3149</v>
      </c>
      <c r="D1217" s="74">
        <v>0</v>
      </c>
      <c r="E1217" s="74">
        <v>0.23165999999999998</v>
      </c>
      <c r="F1217" s="74">
        <v>0</v>
      </c>
      <c r="G1217" s="74">
        <v>0</v>
      </c>
      <c r="H1217" s="74">
        <v>0</v>
      </c>
      <c r="I1217" s="74"/>
      <c r="J1217" s="74">
        <v>0</v>
      </c>
      <c r="K1217" s="74">
        <v>78.279354999999995</v>
      </c>
      <c r="L1217" s="74">
        <v>0</v>
      </c>
      <c r="M1217" s="74">
        <v>0</v>
      </c>
      <c r="N1217" s="74">
        <v>0</v>
      </c>
    </row>
    <row r="1218" spans="1:14" x14ac:dyDescent="0.25">
      <c r="A1218" t="e">
        <f>VLOOKUP(VALUE(RIGHT(B1218,4)),'Waste Lookups'!$B$1:$C$295,2,FALSE)</f>
        <v>#N/A</v>
      </c>
      <c r="B1218" s="74" t="s">
        <v>3150</v>
      </c>
      <c r="C1218" s="74" t="s">
        <v>3151</v>
      </c>
      <c r="D1218" s="74">
        <v>0</v>
      </c>
      <c r="E1218" s="74">
        <v>0</v>
      </c>
      <c r="F1218" s="74">
        <v>0</v>
      </c>
      <c r="G1218" s="74">
        <v>0</v>
      </c>
      <c r="H1218" s="74">
        <v>0</v>
      </c>
      <c r="I1218" s="74"/>
      <c r="J1218" s="74">
        <v>0</v>
      </c>
      <c r="K1218" s="74">
        <v>0</v>
      </c>
      <c r="L1218" s="74">
        <v>0</v>
      </c>
      <c r="M1218" s="74">
        <v>0</v>
      </c>
      <c r="N1218" s="74">
        <v>0</v>
      </c>
    </row>
    <row r="1219" spans="1:14" x14ac:dyDescent="0.25">
      <c r="A1219" t="str">
        <f>VLOOKUP(VALUE(RIGHT(B1219,4)),'Waste Lookups'!$B$1:$C$295,2,FALSE)</f>
        <v>Johnson Community Hospital</v>
      </c>
      <c r="B1219" s="74" t="s">
        <v>793</v>
      </c>
      <c r="C1219" s="74" t="s">
        <v>3152</v>
      </c>
      <c r="D1219" s="74">
        <v>0</v>
      </c>
      <c r="E1219" s="74">
        <v>0</v>
      </c>
      <c r="F1219" s="74">
        <v>0</v>
      </c>
      <c r="G1219" s="74">
        <v>0</v>
      </c>
      <c r="H1219" s="74">
        <v>0</v>
      </c>
      <c r="I1219" s="74"/>
      <c r="J1219" s="74">
        <v>0</v>
      </c>
      <c r="K1219" s="74">
        <v>0</v>
      </c>
      <c r="L1219" s="74">
        <v>0</v>
      </c>
      <c r="M1219" s="74">
        <v>0</v>
      </c>
      <c r="N1219" s="74">
        <v>0</v>
      </c>
    </row>
    <row r="1220" spans="1:14" x14ac:dyDescent="0.25">
      <c r="A1220" t="e">
        <f>VLOOKUP(VALUE(RIGHT(B1220,4)),'Waste Lookups'!$B$1:$C$295,2,FALSE)</f>
        <v>#N/A</v>
      </c>
      <c r="B1220" s="74" t="s">
        <v>3153</v>
      </c>
      <c r="C1220" s="74" t="s">
        <v>3154</v>
      </c>
      <c r="D1220" s="74">
        <v>0</v>
      </c>
      <c r="E1220" s="74">
        <v>4.2900000000000008E-2</v>
      </c>
      <c r="F1220" s="74">
        <v>0</v>
      </c>
      <c r="G1220" s="74">
        <v>0</v>
      </c>
      <c r="H1220" s="74">
        <v>0</v>
      </c>
      <c r="I1220" s="74"/>
      <c r="J1220" s="74">
        <v>0</v>
      </c>
      <c r="K1220" s="74">
        <v>10.481294999999999</v>
      </c>
      <c r="L1220" s="74">
        <v>0</v>
      </c>
      <c r="M1220" s="74">
        <v>0</v>
      </c>
      <c r="N1220" s="74">
        <v>0</v>
      </c>
    </row>
    <row r="1221" spans="1:14" x14ac:dyDescent="0.25">
      <c r="A1221" t="str">
        <f>VLOOKUP(VALUE(RIGHT(B1221,4)),'Waste Lookups'!$B$1:$C$295,2,FALSE)</f>
        <v>County Hospital Louth</v>
      </c>
      <c r="B1221" s="74" t="s">
        <v>791</v>
      </c>
      <c r="C1221" s="74" t="s">
        <v>3155</v>
      </c>
      <c r="D1221" s="74">
        <v>0</v>
      </c>
      <c r="E1221" s="74">
        <v>191.91695999999999</v>
      </c>
      <c r="F1221" s="74">
        <v>0</v>
      </c>
      <c r="G1221" s="74">
        <v>0</v>
      </c>
      <c r="H1221" s="74">
        <v>0</v>
      </c>
      <c r="I1221" s="74"/>
      <c r="J1221" s="74">
        <v>0</v>
      </c>
      <c r="K1221" s="74">
        <v>273.72003999999998</v>
      </c>
      <c r="L1221" s="74">
        <v>0</v>
      </c>
      <c r="M1221" s="74">
        <v>0</v>
      </c>
      <c r="N1221" s="74">
        <v>0</v>
      </c>
    </row>
    <row r="1222" spans="1:14" x14ac:dyDescent="0.25">
      <c r="A1222" t="e">
        <f>VLOOKUP(VALUE(RIGHT(B1222,4)),'Waste Lookups'!$B$1:$C$295,2,FALSE)</f>
        <v>#N/A</v>
      </c>
      <c r="B1222" s="74" t="s">
        <v>3156</v>
      </c>
      <c r="C1222" s="74" t="s">
        <v>3157</v>
      </c>
      <c r="D1222" s="74">
        <v>0</v>
      </c>
      <c r="E1222" s="74">
        <v>1.8696599999999999</v>
      </c>
      <c r="F1222" s="74">
        <v>0</v>
      </c>
      <c r="G1222" s="74">
        <v>0</v>
      </c>
      <c r="H1222" s="74">
        <v>0</v>
      </c>
      <c r="I1222" s="74"/>
      <c r="J1222" s="74">
        <v>0</v>
      </c>
      <c r="K1222" s="74">
        <v>13.739989999999999</v>
      </c>
      <c r="L1222" s="74">
        <v>0</v>
      </c>
      <c r="M1222" s="74">
        <v>0</v>
      </c>
      <c r="N1222" s="74">
        <v>0</v>
      </c>
    </row>
    <row r="1223" spans="1:14" x14ac:dyDescent="0.25">
      <c r="A1223" t="e">
        <f>VLOOKUP(VALUE(RIGHT(B1223,4)),'Waste Lookups'!$B$1:$C$295,2,FALSE)</f>
        <v>#N/A</v>
      </c>
      <c r="B1223" s="74" t="s">
        <v>3158</v>
      </c>
      <c r="C1223" s="74" t="s">
        <v>3159</v>
      </c>
      <c r="D1223" s="74">
        <v>0</v>
      </c>
      <c r="E1223" s="74">
        <v>0</v>
      </c>
      <c r="F1223" s="74">
        <v>0</v>
      </c>
      <c r="G1223" s="74">
        <v>0</v>
      </c>
      <c r="H1223" s="74">
        <v>0</v>
      </c>
      <c r="I1223" s="74"/>
      <c r="J1223" s="74">
        <v>0</v>
      </c>
      <c r="K1223" s="74">
        <v>0</v>
      </c>
      <c r="L1223" s="74">
        <v>0</v>
      </c>
      <c r="M1223" s="74">
        <v>0</v>
      </c>
      <c r="N1223" s="74">
        <v>0</v>
      </c>
    </row>
    <row r="1224" spans="1:14" x14ac:dyDescent="0.25">
      <c r="A1224" t="str">
        <f>VLOOKUP(VALUE(RIGHT(B1224,4)),'Waste Lookups'!$B$1:$C$295,2,FALSE)</f>
        <v>Venture House (Units 2-3)</v>
      </c>
      <c r="B1224" s="74" t="s">
        <v>792</v>
      </c>
      <c r="C1224" s="74" t="s">
        <v>3160</v>
      </c>
      <c r="D1224" s="74">
        <v>0</v>
      </c>
      <c r="E1224" s="74">
        <v>0</v>
      </c>
      <c r="F1224" s="74">
        <v>0</v>
      </c>
      <c r="G1224" s="74">
        <v>2.0879099999999999</v>
      </c>
      <c r="H1224" s="74">
        <v>0</v>
      </c>
      <c r="I1224" s="74"/>
      <c r="J1224" s="74">
        <v>0</v>
      </c>
      <c r="K1224" s="74">
        <v>0</v>
      </c>
      <c r="L1224" s="74">
        <v>0</v>
      </c>
      <c r="M1224" s="74">
        <v>49.1367525</v>
      </c>
      <c r="N1224" s="74">
        <v>0</v>
      </c>
    </row>
    <row r="1225" spans="1:14" x14ac:dyDescent="0.25">
      <c r="A1225" t="e">
        <f>VLOOKUP(VALUE(RIGHT(B1225,4)),'Waste Lookups'!$B$1:$C$295,2,FALSE)</f>
        <v>#N/A</v>
      </c>
      <c r="B1225" s="74" t="s">
        <v>3161</v>
      </c>
      <c r="C1225" s="74" t="s">
        <v>3162</v>
      </c>
      <c r="D1225" s="74">
        <v>0</v>
      </c>
      <c r="E1225" s="74">
        <v>1.0276799999999999</v>
      </c>
      <c r="F1225" s="74">
        <v>0</v>
      </c>
      <c r="G1225" s="74">
        <v>0</v>
      </c>
      <c r="H1225" s="74">
        <v>0</v>
      </c>
      <c r="I1225" s="74"/>
      <c r="J1225" s="74">
        <v>0</v>
      </c>
      <c r="K1225" s="74">
        <v>11.133760000000001</v>
      </c>
      <c r="L1225" s="74">
        <v>0</v>
      </c>
      <c r="M1225" s="74">
        <v>0</v>
      </c>
      <c r="N1225" s="74">
        <v>0</v>
      </c>
    </row>
    <row r="1226" spans="1:14" x14ac:dyDescent="0.25">
      <c r="A1226" t="e">
        <f>VLOOKUP(VALUE(RIGHT(B1226,4)),'Waste Lookups'!$B$1:$C$295,2,FALSE)</f>
        <v>#N/A</v>
      </c>
      <c r="B1226" s="74" t="s">
        <v>3163</v>
      </c>
      <c r="C1226" s="74" t="s">
        <v>3164</v>
      </c>
      <c r="D1226" s="74">
        <v>0</v>
      </c>
      <c r="E1226" s="74">
        <v>1.8588600000000002</v>
      </c>
      <c r="F1226" s="74">
        <v>0</v>
      </c>
      <c r="G1226" s="74">
        <v>0</v>
      </c>
      <c r="H1226" s="74">
        <v>0</v>
      </c>
      <c r="I1226" s="74"/>
      <c r="J1226" s="74">
        <v>0</v>
      </c>
      <c r="K1226" s="74">
        <v>4.2825199999999999</v>
      </c>
      <c r="L1226" s="74">
        <v>0</v>
      </c>
      <c r="M1226" s="74">
        <v>0</v>
      </c>
      <c r="N1226" s="74">
        <v>0</v>
      </c>
    </row>
    <row r="1227" spans="1:14" x14ac:dyDescent="0.25">
      <c r="A1227" t="e">
        <f>VLOOKUP(VALUE(RIGHT(B1227,4)),'Waste Lookups'!$B$1:$C$295,2,FALSE)</f>
        <v>#N/A</v>
      </c>
      <c r="B1227" s="74" t="s">
        <v>3165</v>
      </c>
      <c r="C1227" s="74" t="s">
        <v>3166</v>
      </c>
      <c r="D1227" s="74">
        <v>0</v>
      </c>
      <c r="E1227" s="74">
        <v>1.476</v>
      </c>
      <c r="F1227" s="74">
        <v>0</v>
      </c>
      <c r="G1227" s="74">
        <v>0</v>
      </c>
      <c r="H1227" s="74">
        <v>0</v>
      </c>
      <c r="I1227" s="74"/>
      <c r="J1227" s="74">
        <v>0</v>
      </c>
      <c r="K1227" s="74">
        <v>5.5078649999999998</v>
      </c>
      <c r="L1227" s="74">
        <v>0</v>
      </c>
      <c r="M1227" s="74">
        <v>0</v>
      </c>
      <c r="N1227" s="74">
        <v>0</v>
      </c>
    </row>
    <row r="1228" spans="1:14" x14ac:dyDescent="0.25">
      <c r="A1228" t="e">
        <f>VLOOKUP(VALUE(RIGHT(B1228,4)),'Waste Lookups'!$B$1:$C$295,2,FALSE)</f>
        <v>#N/A</v>
      </c>
      <c r="B1228" s="74" t="s">
        <v>3167</v>
      </c>
      <c r="C1228" s="74" t="s">
        <v>3168</v>
      </c>
      <c r="D1228" s="74">
        <v>0</v>
      </c>
      <c r="E1228" s="74">
        <v>0</v>
      </c>
      <c r="F1228" s="74">
        <v>0</v>
      </c>
      <c r="G1228" s="74">
        <v>0.70110000000000006</v>
      </c>
      <c r="H1228" s="74">
        <v>0</v>
      </c>
      <c r="I1228" s="74"/>
      <c r="J1228" s="74">
        <v>0</v>
      </c>
      <c r="K1228" s="74">
        <v>0</v>
      </c>
      <c r="L1228" s="74">
        <v>0</v>
      </c>
      <c r="M1228" s="74">
        <v>2.6409075000000004</v>
      </c>
      <c r="N1228" s="74">
        <v>0</v>
      </c>
    </row>
    <row r="1229" spans="1:14" x14ac:dyDescent="0.25">
      <c r="A1229" t="e">
        <f>VLOOKUP(VALUE(RIGHT(B1229,4)),'Waste Lookups'!$B$1:$C$295,2,FALSE)</f>
        <v>#N/A</v>
      </c>
      <c r="B1229" s="74" t="s">
        <v>3169</v>
      </c>
      <c r="C1229" s="74" t="s">
        <v>3170</v>
      </c>
      <c r="D1229" s="74">
        <v>0</v>
      </c>
      <c r="E1229" s="74">
        <v>0.62327999999999995</v>
      </c>
      <c r="F1229" s="74">
        <v>0</v>
      </c>
      <c r="G1229" s="74">
        <v>0</v>
      </c>
      <c r="H1229" s="74">
        <v>0</v>
      </c>
      <c r="I1229" s="74"/>
      <c r="J1229" s="74">
        <v>0</v>
      </c>
      <c r="K1229" s="74">
        <v>0.16709000000000002</v>
      </c>
      <c r="L1229" s="74">
        <v>0</v>
      </c>
      <c r="M1229" s="74">
        <v>0</v>
      </c>
      <c r="N1229" s="74">
        <v>0</v>
      </c>
    </row>
    <row r="1230" spans="1:14" x14ac:dyDescent="0.25">
      <c r="A1230" t="e">
        <f>VLOOKUP(VALUE(RIGHT(B1230,4)),'Waste Lookups'!$B$1:$C$295,2,FALSE)</f>
        <v>#N/A</v>
      </c>
      <c r="B1230" s="74" t="s">
        <v>3171</v>
      </c>
      <c r="C1230" s="74" t="s">
        <v>3172</v>
      </c>
      <c r="D1230" s="74">
        <v>0</v>
      </c>
      <c r="E1230" s="74">
        <v>0.31163999999999997</v>
      </c>
      <c r="F1230" s="74">
        <v>0</v>
      </c>
      <c r="G1230" s="74">
        <v>0</v>
      </c>
      <c r="H1230" s="74">
        <v>0</v>
      </c>
      <c r="I1230" s="74"/>
      <c r="J1230" s="74">
        <v>0</v>
      </c>
      <c r="K1230" s="74">
        <v>3.1367049999999996</v>
      </c>
      <c r="L1230" s="74">
        <v>0</v>
      </c>
      <c r="M1230" s="74">
        <v>0</v>
      </c>
      <c r="N1230" s="74">
        <v>0</v>
      </c>
    </row>
    <row r="1231" spans="1:14" x14ac:dyDescent="0.25">
      <c r="A1231" t="e">
        <f>VLOOKUP(VALUE(RIGHT(B1231,4)),'Waste Lookups'!$B$1:$C$295,2,FALSE)</f>
        <v>#N/A</v>
      </c>
      <c r="B1231" s="74" t="s">
        <v>3173</v>
      </c>
      <c r="C1231" s="74" t="s">
        <v>3174</v>
      </c>
      <c r="D1231" s="74">
        <v>0</v>
      </c>
      <c r="E1231" s="74">
        <v>1.1008199999999999</v>
      </c>
      <c r="F1231" s="74">
        <v>0</v>
      </c>
      <c r="G1231" s="74">
        <v>0</v>
      </c>
      <c r="H1231" s="74">
        <v>0</v>
      </c>
      <c r="I1231" s="74"/>
      <c r="J1231" s="74">
        <v>0</v>
      </c>
      <c r="K1231" s="74">
        <v>49.325759999999995</v>
      </c>
      <c r="L1231" s="74">
        <v>0</v>
      </c>
      <c r="M1231" s="74">
        <v>0</v>
      </c>
      <c r="N1231" s="74">
        <v>0</v>
      </c>
    </row>
    <row r="1232" spans="1:14" x14ac:dyDescent="0.25">
      <c r="A1232" t="e">
        <f>VLOOKUP(VALUE(RIGHT(B1232,4)),'Waste Lookups'!$B$1:$C$295,2,FALSE)</f>
        <v>#N/A</v>
      </c>
      <c r="B1232" s="74" t="s">
        <v>3175</v>
      </c>
      <c r="C1232" s="74" t="s">
        <v>3176</v>
      </c>
      <c r="D1232" s="74">
        <v>0</v>
      </c>
      <c r="E1232" s="74">
        <v>1.6360200000000003</v>
      </c>
      <c r="F1232" s="74">
        <v>0</v>
      </c>
      <c r="G1232" s="74">
        <v>0</v>
      </c>
      <c r="H1232" s="74">
        <v>0</v>
      </c>
      <c r="I1232" s="74"/>
      <c r="J1232" s="74">
        <v>0</v>
      </c>
      <c r="K1232" s="74">
        <v>4.0306750000000005</v>
      </c>
      <c r="L1232" s="74">
        <v>0</v>
      </c>
      <c r="M1232" s="74">
        <v>0</v>
      </c>
      <c r="N1232" s="74">
        <v>0</v>
      </c>
    </row>
    <row r="1233" spans="1:14" x14ac:dyDescent="0.25">
      <c r="A1233" t="e">
        <f>VLOOKUP(VALUE(RIGHT(B1233,4)),'Waste Lookups'!$B$1:$C$295,2,FALSE)</f>
        <v>#N/A</v>
      </c>
      <c r="B1233" s="74" t="s">
        <v>3177</v>
      </c>
      <c r="C1233" s="74" t="s">
        <v>3178</v>
      </c>
      <c r="D1233" s="74">
        <v>0</v>
      </c>
      <c r="E1233" s="74">
        <v>0.57191999999999987</v>
      </c>
      <c r="F1233" s="74">
        <v>0</v>
      </c>
      <c r="G1233" s="74">
        <v>0.77327999999999997</v>
      </c>
      <c r="H1233" s="74">
        <v>0</v>
      </c>
      <c r="I1233" s="74"/>
      <c r="J1233" s="74">
        <v>0</v>
      </c>
      <c r="K1233" s="74">
        <v>5.3353376715956742</v>
      </c>
      <c r="L1233" s="74">
        <v>0</v>
      </c>
      <c r="M1233" s="74">
        <v>7.213788492606489</v>
      </c>
      <c r="N1233" s="74">
        <v>0</v>
      </c>
    </row>
    <row r="1234" spans="1:14" x14ac:dyDescent="0.25">
      <c r="A1234" t="e">
        <f>VLOOKUP(VALUE(RIGHT(B1234,4)),'Waste Lookups'!$B$1:$C$295,2,FALSE)</f>
        <v>#N/A</v>
      </c>
      <c r="B1234" s="74" t="s">
        <v>3179</v>
      </c>
      <c r="C1234" s="74" t="s">
        <v>3180</v>
      </c>
      <c r="D1234" s="74">
        <v>0</v>
      </c>
      <c r="E1234" s="74">
        <v>1.5446399999999998</v>
      </c>
      <c r="F1234" s="74">
        <v>0</v>
      </c>
      <c r="G1234" s="74">
        <v>1.7435699999999996</v>
      </c>
      <c r="H1234" s="74">
        <v>0</v>
      </c>
      <c r="I1234" s="74"/>
      <c r="J1234" s="74">
        <v>0</v>
      </c>
      <c r="K1234" s="74">
        <v>7.6333581931422749</v>
      </c>
      <c r="L1234" s="74">
        <v>0</v>
      </c>
      <c r="M1234" s="74">
        <v>8.6164377102865899</v>
      </c>
      <c r="N1234" s="74">
        <v>0</v>
      </c>
    </row>
    <row r="1235" spans="1:14" x14ac:dyDescent="0.25">
      <c r="A1235" t="e">
        <f>VLOOKUP(VALUE(RIGHT(B1235,4)),'Waste Lookups'!$B$1:$C$295,2,FALSE)</f>
        <v>#N/A</v>
      </c>
      <c r="B1235" s="74" t="s">
        <v>3181</v>
      </c>
      <c r="C1235" s="74" t="s">
        <v>3182</v>
      </c>
      <c r="D1235" s="74">
        <v>0</v>
      </c>
      <c r="E1235" s="74">
        <v>5.2127400000000002</v>
      </c>
      <c r="F1235" s="74">
        <v>0</v>
      </c>
      <c r="G1235" s="74">
        <v>2.0878199999999998</v>
      </c>
      <c r="H1235" s="74">
        <v>0</v>
      </c>
      <c r="I1235" s="74"/>
      <c r="J1235" s="74">
        <v>0</v>
      </c>
      <c r="K1235" s="74">
        <v>36.815052215948839</v>
      </c>
      <c r="L1235" s="74">
        <v>0</v>
      </c>
      <c r="M1235" s="74">
        <v>14.745259176076749</v>
      </c>
      <c r="N1235" s="74">
        <v>0</v>
      </c>
    </row>
    <row r="1236" spans="1:14" x14ac:dyDescent="0.25">
      <c r="A1236" t="e">
        <f>VLOOKUP(VALUE(RIGHT(B1236,4)),'Waste Lookups'!$B$1:$C$295,2,FALSE)</f>
        <v>#N/A</v>
      </c>
      <c r="B1236" s="74" t="s">
        <v>3183</v>
      </c>
      <c r="C1236" s="74" t="s">
        <v>3184</v>
      </c>
      <c r="D1236" s="74">
        <v>0</v>
      </c>
      <c r="E1236" s="74">
        <v>2.0601599999999998</v>
      </c>
      <c r="F1236" s="74">
        <v>0</v>
      </c>
      <c r="G1236" s="74">
        <v>1.8931499999999997</v>
      </c>
      <c r="H1236" s="74">
        <v>0</v>
      </c>
      <c r="I1236" s="74"/>
      <c r="J1236" s="74">
        <v>0</v>
      </c>
      <c r="K1236" s="74">
        <v>7.6832838301638047</v>
      </c>
      <c r="L1236" s="74">
        <v>0</v>
      </c>
      <c r="M1236" s="74">
        <v>7.0604267547542934</v>
      </c>
      <c r="N1236" s="74">
        <v>0</v>
      </c>
    </row>
    <row r="1237" spans="1:14" x14ac:dyDescent="0.25">
      <c r="A1237" t="e">
        <f>VLOOKUP(VALUE(RIGHT(B1237,4)),'Waste Lookups'!$B$1:$C$295,2,FALSE)</f>
        <v>#N/A</v>
      </c>
      <c r="B1237" s="74" t="s">
        <v>3185</v>
      </c>
      <c r="C1237" s="74" t="s">
        <v>3186</v>
      </c>
      <c r="D1237" s="74">
        <v>0</v>
      </c>
      <c r="E1237" s="74">
        <v>0.77904000000000007</v>
      </c>
      <c r="F1237" s="74">
        <v>0</v>
      </c>
      <c r="G1237" s="74">
        <v>0.95516999999999996</v>
      </c>
      <c r="H1237" s="74">
        <v>0</v>
      </c>
      <c r="I1237" s="74"/>
      <c r="J1237" s="74">
        <v>0</v>
      </c>
      <c r="K1237" s="74">
        <v>9.8321707284824331</v>
      </c>
      <c r="L1237" s="74">
        <v>0</v>
      </c>
      <c r="M1237" s="74">
        <v>12.055086407276347</v>
      </c>
      <c r="N1237" s="74">
        <v>0</v>
      </c>
    </row>
    <row r="1238" spans="1:14" x14ac:dyDescent="0.25">
      <c r="A1238" t="str">
        <f>VLOOKUP(VALUE(RIGHT(B1238,4)),'Waste Lookups'!$B$1:$C$295,2,FALSE)</f>
        <v>St Johns House (3rd Floor)</v>
      </c>
      <c r="B1238" s="74" t="s">
        <v>711</v>
      </c>
      <c r="C1238" s="74" t="s">
        <v>3187</v>
      </c>
      <c r="D1238" s="74">
        <v>0</v>
      </c>
      <c r="E1238" s="74">
        <v>0.91187999999999991</v>
      </c>
      <c r="F1238" s="74">
        <v>0</v>
      </c>
      <c r="G1238" s="74">
        <v>3.05748</v>
      </c>
      <c r="H1238" s="74">
        <v>0</v>
      </c>
      <c r="I1238" s="74"/>
      <c r="J1238" s="74">
        <v>0</v>
      </c>
      <c r="K1238" s="74">
        <v>1.925233</v>
      </c>
      <c r="L1238" s="74">
        <v>0</v>
      </c>
      <c r="M1238" s="74">
        <v>6.4551930000000013</v>
      </c>
      <c r="N1238" s="74">
        <v>0</v>
      </c>
    </row>
    <row r="1239" spans="1:14" x14ac:dyDescent="0.25">
      <c r="A1239" t="e">
        <f>VLOOKUP(VALUE(RIGHT(B1239,4)),'Waste Lookups'!$B$1:$C$295,2,FALSE)</f>
        <v>#N/A</v>
      </c>
      <c r="B1239" s="74" t="s">
        <v>3188</v>
      </c>
      <c r="C1239" s="74" t="s">
        <v>3189</v>
      </c>
      <c r="D1239" s="74">
        <v>0</v>
      </c>
      <c r="E1239" s="74">
        <v>1.8588000000000002</v>
      </c>
      <c r="F1239" s="74">
        <v>0</v>
      </c>
      <c r="G1239" s="74">
        <v>4.2532199999999998</v>
      </c>
      <c r="H1239" s="74">
        <v>0</v>
      </c>
      <c r="I1239" s="74"/>
      <c r="J1239" s="74">
        <v>0</v>
      </c>
      <c r="K1239" s="74">
        <v>6.4004379853779501</v>
      </c>
      <c r="L1239" s="74">
        <v>0</v>
      </c>
      <c r="M1239" s="74">
        <v>14.645185521933076</v>
      </c>
      <c r="N1239" s="74">
        <v>0</v>
      </c>
    </row>
    <row r="1240" spans="1:14" x14ac:dyDescent="0.25">
      <c r="A1240" t="e">
        <f>VLOOKUP(VALUE(RIGHT(B1240,4)),'Waste Lookups'!$B$1:$C$295,2,FALSE)</f>
        <v>#N/A</v>
      </c>
      <c r="B1240" s="74" t="s">
        <v>3190</v>
      </c>
      <c r="C1240" s="74" t="s">
        <v>3191</v>
      </c>
      <c r="D1240" s="74">
        <v>0</v>
      </c>
      <c r="E1240" s="74">
        <v>2.2162799999999998</v>
      </c>
      <c r="F1240" s="74">
        <v>0</v>
      </c>
      <c r="G1240" s="74">
        <v>0.87551999999999996</v>
      </c>
      <c r="H1240" s="74">
        <v>0</v>
      </c>
      <c r="I1240" s="74"/>
      <c r="J1240" s="74">
        <v>0</v>
      </c>
      <c r="K1240" s="74">
        <v>8.2691537941970594</v>
      </c>
      <c r="L1240" s="74">
        <v>0</v>
      </c>
      <c r="M1240" s="74">
        <v>3.2666493087044102</v>
      </c>
      <c r="N1240" s="74">
        <v>0</v>
      </c>
    </row>
    <row r="1241" spans="1:14" x14ac:dyDescent="0.25">
      <c r="A1241" t="e">
        <f>VLOOKUP(VALUE(RIGHT(B1241,4)),'Waste Lookups'!$B$1:$C$295,2,FALSE)</f>
        <v>#N/A</v>
      </c>
      <c r="B1241" s="74" t="s">
        <v>3192</v>
      </c>
      <c r="C1241" s="74" t="s">
        <v>3193</v>
      </c>
      <c r="D1241" s="74">
        <v>0</v>
      </c>
      <c r="E1241" s="74">
        <v>7.379999999999999</v>
      </c>
      <c r="F1241" s="74">
        <v>0</v>
      </c>
      <c r="G1241" s="74">
        <v>0</v>
      </c>
      <c r="H1241" s="74">
        <v>0</v>
      </c>
      <c r="I1241" s="74"/>
      <c r="J1241" s="74">
        <v>0</v>
      </c>
      <c r="K1241" s="74">
        <v>0</v>
      </c>
      <c r="L1241" s="74">
        <v>0</v>
      </c>
      <c r="M1241" s="74">
        <v>0</v>
      </c>
      <c r="N1241" s="74">
        <v>0</v>
      </c>
    </row>
    <row r="1242" spans="1:14" x14ac:dyDescent="0.25">
      <c r="A1242" t="e">
        <f>VLOOKUP(VALUE(RIGHT(B1242,4)),'Waste Lookups'!$B$1:$C$295,2,FALSE)</f>
        <v>#N/A</v>
      </c>
      <c r="B1242" s="74" t="s">
        <v>3194</v>
      </c>
      <c r="C1242" s="74" t="s">
        <v>3195</v>
      </c>
      <c r="D1242" s="74">
        <v>0</v>
      </c>
      <c r="E1242" s="74">
        <v>2.6663999999999994</v>
      </c>
      <c r="F1242" s="74">
        <v>0</v>
      </c>
      <c r="G1242" s="74">
        <v>0</v>
      </c>
      <c r="H1242" s="74">
        <v>0</v>
      </c>
      <c r="I1242" s="74"/>
      <c r="J1242" s="74">
        <v>0</v>
      </c>
      <c r="K1242" s="74">
        <v>2.7629800000000002</v>
      </c>
      <c r="L1242" s="74">
        <v>0</v>
      </c>
      <c r="M1242" s="74">
        <v>0</v>
      </c>
      <c r="N1242" s="74">
        <v>0</v>
      </c>
    </row>
    <row r="1243" spans="1:14" x14ac:dyDescent="0.25">
      <c r="A1243" t="e">
        <f>VLOOKUP(VALUE(RIGHT(B1243,4)),'Waste Lookups'!$B$1:$C$295,2,FALSE)</f>
        <v>#N/A</v>
      </c>
      <c r="B1243" s="74" t="s">
        <v>3196</v>
      </c>
      <c r="C1243" s="74" t="s">
        <v>3197</v>
      </c>
      <c r="D1243" s="74">
        <v>0.15987878787878784</v>
      </c>
      <c r="E1243" s="74">
        <v>0.46800000000000003</v>
      </c>
      <c r="F1243" s="74">
        <v>0</v>
      </c>
      <c r="G1243" s="74">
        <v>0</v>
      </c>
      <c r="H1243" s="74">
        <v>0</v>
      </c>
      <c r="I1243" s="74"/>
      <c r="J1243" s="74">
        <v>0</v>
      </c>
      <c r="K1243" s="74">
        <v>0</v>
      </c>
      <c r="L1243" s="74">
        <v>0</v>
      </c>
      <c r="M1243" s="74">
        <v>0</v>
      </c>
      <c r="N1243" s="74">
        <v>0</v>
      </c>
    </row>
    <row r="1244" spans="1:14" x14ac:dyDescent="0.25">
      <c r="A1244" t="e">
        <f>VLOOKUP(VALUE(RIGHT(B1244,4)),'Waste Lookups'!$B$1:$C$295,2,FALSE)</f>
        <v>#N/A</v>
      </c>
      <c r="B1244" s="74" t="s">
        <v>3198</v>
      </c>
      <c r="C1244" s="74" t="s">
        <v>3199</v>
      </c>
      <c r="D1244" s="74">
        <v>0</v>
      </c>
      <c r="E1244" s="74">
        <v>2.8789799999999994</v>
      </c>
      <c r="F1244" s="74">
        <v>0</v>
      </c>
      <c r="G1244" s="74">
        <v>2.38707</v>
      </c>
      <c r="H1244" s="74">
        <v>0</v>
      </c>
      <c r="I1244" s="74"/>
      <c r="J1244" s="74">
        <v>0</v>
      </c>
      <c r="K1244" s="74">
        <v>2.9115220904356693</v>
      </c>
      <c r="L1244" s="74">
        <v>0</v>
      </c>
      <c r="M1244" s="74">
        <v>2.4140518643464963</v>
      </c>
      <c r="N1244" s="74">
        <v>0</v>
      </c>
    </row>
    <row r="1245" spans="1:14" x14ac:dyDescent="0.25">
      <c r="A1245" t="str">
        <f>VLOOKUP(VALUE(RIGHT(B1245,4)),'Waste Lookups'!$B$1:$C$295,2,FALSE)</f>
        <v>Morston House</v>
      </c>
      <c r="B1245" s="74" t="s">
        <v>797</v>
      </c>
      <c r="C1245" s="74" t="s">
        <v>3200</v>
      </c>
      <c r="D1245" s="74">
        <v>0</v>
      </c>
      <c r="E1245" s="74">
        <v>1.3310999999999999</v>
      </c>
      <c r="F1245" s="74">
        <v>0</v>
      </c>
      <c r="G1245" s="74">
        <v>4.2812099999999988</v>
      </c>
      <c r="H1245" s="74">
        <v>0</v>
      </c>
      <c r="I1245" s="74"/>
      <c r="J1245" s="74">
        <v>0</v>
      </c>
      <c r="K1245" s="74">
        <v>1.181026683774407</v>
      </c>
      <c r="L1245" s="74">
        <v>0</v>
      </c>
      <c r="M1245" s="74">
        <v>3.7985299743383889</v>
      </c>
      <c r="N1245" s="74">
        <v>0</v>
      </c>
    </row>
    <row r="1246" spans="1:14" x14ac:dyDescent="0.25">
      <c r="A1246" t="e">
        <f>VLOOKUP(VALUE(RIGHT(B1246,4)),'Waste Lookups'!$B$1:$C$295,2,FALSE)</f>
        <v>#N/A</v>
      </c>
      <c r="B1246" s="74" t="s">
        <v>3201</v>
      </c>
      <c r="C1246" s="74" t="s">
        <v>3202</v>
      </c>
      <c r="D1246" s="74">
        <v>0</v>
      </c>
      <c r="E1246" s="74">
        <v>0.64836000000000005</v>
      </c>
      <c r="F1246" s="74">
        <v>0</v>
      </c>
      <c r="G1246" s="74">
        <v>0</v>
      </c>
      <c r="H1246" s="74">
        <v>0</v>
      </c>
      <c r="I1246" s="74"/>
      <c r="J1246" s="74">
        <v>0</v>
      </c>
      <c r="K1246" s="74">
        <v>2.7334999999999998</v>
      </c>
      <c r="L1246" s="74">
        <v>0</v>
      </c>
      <c r="M1246" s="74">
        <v>0</v>
      </c>
      <c r="N1246" s="74">
        <v>0</v>
      </c>
    </row>
    <row r="1247" spans="1:14" x14ac:dyDescent="0.25">
      <c r="A1247" t="e">
        <f>VLOOKUP(VALUE(RIGHT(B1247,4)),'Waste Lookups'!$B$1:$C$295,2,FALSE)</f>
        <v>#N/A</v>
      </c>
      <c r="B1247" s="74" t="s">
        <v>3203</v>
      </c>
      <c r="C1247" s="74" t="s">
        <v>3204</v>
      </c>
      <c r="D1247" s="74">
        <v>0</v>
      </c>
      <c r="E1247" s="74">
        <v>0</v>
      </c>
      <c r="F1247" s="74">
        <v>0</v>
      </c>
      <c r="G1247" s="74">
        <v>0</v>
      </c>
      <c r="H1247" s="74">
        <v>0</v>
      </c>
      <c r="I1247" s="74"/>
      <c r="J1247" s="74">
        <v>0</v>
      </c>
      <c r="K1247" s="74">
        <v>0</v>
      </c>
      <c r="L1247" s="74">
        <v>0</v>
      </c>
      <c r="M1247" s="74">
        <v>0</v>
      </c>
      <c r="N1247" s="74">
        <v>0</v>
      </c>
    </row>
    <row r="1248" spans="1:14" x14ac:dyDescent="0.25">
      <c r="A1248" t="e">
        <f>VLOOKUP(VALUE(RIGHT(B1248,4)),'Waste Lookups'!$B$1:$C$295,2,FALSE)</f>
        <v>#N/A</v>
      </c>
      <c r="B1248" s="74" t="s">
        <v>3205</v>
      </c>
      <c r="C1248" s="74" t="s">
        <v>3206</v>
      </c>
      <c r="D1248" s="74">
        <v>0</v>
      </c>
      <c r="E1248" s="74">
        <v>1.3668000000000002</v>
      </c>
      <c r="F1248" s="74">
        <v>0</v>
      </c>
      <c r="G1248" s="74">
        <v>1.8699300000000001</v>
      </c>
      <c r="H1248" s="74">
        <v>0.10336422796292644</v>
      </c>
      <c r="I1248" s="74"/>
      <c r="J1248" s="74">
        <v>0</v>
      </c>
      <c r="K1248" s="74">
        <v>1.3928026624833869</v>
      </c>
      <c r="L1248" s="74">
        <v>0</v>
      </c>
      <c r="M1248" s="74">
        <v>1.9055044502908689</v>
      </c>
      <c r="N1248" s="74">
        <v>0.10533067889398862</v>
      </c>
    </row>
    <row r="1249" spans="1:14" x14ac:dyDescent="0.25">
      <c r="A1249" t="e">
        <f>VLOOKUP(VALUE(RIGHT(B1249,4)),'Waste Lookups'!$B$1:$C$295,2,FALSE)</f>
        <v>#N/A</v>
      </c>
      <c r="B1249" s="74" t="s">
        <v>3207</v>
      </c>
      <c r="C1249" s="74" t="s">
        <v>3208</v>
      </c>
      <c r="D1249" s="74">
        <v>0.29812121212121212</v>
      </c>
      <c r="E1249" s="74">
        <v>0</v>
      </c>
      <c r="F1249" s="74">
        <v>0</v>
      </c>
      <c r="G1249" s="74">
        <v>0</v>
      </c>
      <c r="H1249" s="74">
        <v>0</v>
      </c>
      <c r="I1249" s="74"/>
      <c r="J1249" s="74">
        <v>3.5912222222222221</v>
      </c>
      <c r="K1249" s="74">
        <v>0</v>
      </c>
      <c r="L1249" s="74">
        <v>0</v>
      </c>
      <c r="M1249" s="74">
        <v>0</v>
      </c>
      <c r="N1249" s="74">
        <v>0</v>
      </c>
    </row>
    <row r="1250" spans="1:14" x14ac:dyDescent="0.25">
      <c r="A1250" t="e">
        <f>VLOOKUP(VALUE(RIGHT(B1250,4)),'Waste Lookups'!$B$1:$C$295,2,FALSE)</f>
        <v>#N/A</v>
      </c>
      <c r="B1250" s="74" t="s">
        <v>3209</v>
      </c>
      <c r="C1250" s="74" t="s">
        <v>3210</v>
      </c>
      <c r="D1250" s="74">
        <v>0</v>
      </c>
      <c r="E1250" s="74">
        <v>0</v>
      </c>
      <c r="F1250" s="74">
        <v>0</v>
      </c>
      <c r="G1250" s="74">
        <v>0</v>
      </c>
      <c r="H1250" s="74">
        <v>0</v>
      </c>
      <c r="I1250" s="74"/>
      <c r="J1250" s="74">
        <v>0</v>
      </c>
      <c r="K1250" s="74">
        <v>0</v>
      </c>
      <c r="L1250" s="74">
        <v>0</v>
      </c>
      <c r="M1250" s="74">
        <v>0</v>
      </c>
      <c r="N1250" s="74">
        <v>0</v>
      </c>
    </row>
    <row r="1251" spans="1:14" x14ac:dyDescent="0.25">
      <c r="A1251" t="str">
        <f>VLOOKUP(VALUE(RIGHT(B1251,4)),'Waste Lookups'!$B$1:$C$295,2,FALSE)</f>
        <v>Anglesey House</v>
      </c>
      <c r="B1251" s="74" t="s">
        <v>726</v>
      </c>
      <c r="C1251" s="74" t="s">
        <v>3211</v>
      </c>
      <c r="D1251" s="74">
        <v>0</v>
      </c>
      <c r="E1251" s="74">
        <v>8.7054600000000004</v>
      </c>
      <c r="F1251" s="74">
        <v>0</v>
      </c>
      <c r="G1251" s="74">
        <v>4.2119999999999997</v>
      </c>
      <c r="H1251" s="74">
        <v>0.68909485308617624</v>
      </c>
      <c r="I1251" s="74"/>
      <c r="J1251" s="74">
        <v>0</v>
      </c>
      <c r="K1251" s="74">
        <v>5.0346977678308944</v>
      </c>
      <c r="L1251" s="74">
        <v>0</v>
      </c>
      <c r="M1251" s="74">
        <v>2.4359593861902447</v>
      </c>
      <c r="N1251" s="74">
        <v>0.39852969500253049</v>
      </c>
    </row>
    <row r="1252" spans="1:14" x14ac:dyDescent="0.25">
      <c r="A1252" t="e">
        <f>VLOOKUP(VALUE(RIGHT(B1252,4)),'Waste Lookups'!$B$1:$C$295,2,FALSE)</f>
        <v>#N/A</v>
      </c>
      <c r="B1252" s="74" t="s">
        <v>3212</v>
      </c>
      <c r="C1252" s="74" t="s">
        <v>3213</v>
      </c>
      <c r="D1252" s="74">
        <v>0</v>
      </c>
      <c r="E1252" s="74">
        <v>0</v>
      </c>
      <c r="F1252" s="74">
        <v>0</v>
      </c>
      <c r="G1252" s="74">
        <v>0</v>
      </c>
      <c r="H1252" s="74">
        <v>0</v>
      </c>
      <c r="I1252" s="74"/>
      <c r="J1252" s="74">
        <v>0</v>
      </c>
      <c r="K1252" s="74">
        <v>0</v>
      </c>
      <c r="L1252" s="74">
        <v>0</v>
      </c>
      <c r="M1252" s="74">
        <v>0</v>
      </c>
      <c r="N1252" s="74">
        <v>0</v>
      </c>
    </row>
    <row r="1253" spans="1:14" x14ac:dyDescent="0.25">
      <c r="A1253" t="e">
        <f>VLOOKUP(VALUE(RIGHT(B1253,4)),'Waste Lookups'!$B$1:$C$295,2,FALSE)</f>
        <v>#N/A</v>
      </c>
      <c r="B1253" s="74" t="s">
        <v>3214</v>
      </c>
      <c r="C1253" s="74" t="s">
        <v>3215</v>
      </c>
      <c r="D1253" s="74">
        <v>1.2284848484848485</v>
      </c>
      <c r="E1253" s="74">
        <v>2.1994799999999994</v>
      </c>
      <c r="F1253" s="74">
        <v>0</v>
      </c>
      <c r="G1253" s="74">
        <v>0</v>
      </c>
      <c r="H1253" s="74">
        <v>0.68971327154407402</v>
      </c>
      <c r="I1253" s="74"/>
      <c r="J1253" s="74">
        <v>2.0956183766945848</v>
      </c>
      <c r="K1253" s="74">
        <v>3.7519963822566047</v>
      </c>
      <c r="L1253" s="74">
        <v>0</v>
      </c>
      <c r="M1253" s="74">
        <v>0</v>
      </c>
      <c r="N1253" s="74">
        <v>1.1765515938438782</v>
      </c>
    </row>
    <row r="1254" spans="1:14" x14ac:dyDescent="0.25">
      <c r="A1254" t="e">
        <f>VLOOKUP(VALUE(RIGHT(B1254,4)),'Waste Lookups'!$B$1:$C$295,2,FALSE)</f>
        <v>#N/A</v>
      </c>
      <c r="B1254" s="74" t="s">
        <v>3216</v>
      </c>
      <c r="C1254" s="74" t="s">
        <v>3217</v>
      </c>
      <c r="D1254" s="74">
        <v>0</v>
      </c>
      <c r="E1254" s="74">
        <v>3.2426400000000002</v>
      </c>
      <c r="F1254" s="74">
        <v>0.28389090909090908</v>
      </c>
      <c r="G1254" s="74">
        <v>1.1239199999999998</v>
      </c>
      <c r="H1254" s="74">
        <v>0.27033721159534613</v>
      </c>
      <c r="I1254" s="74"/>
      <c r="J1254" s="74">
        <v>0</v>
      </c>
      <c r="K1254" s="74">
        <v>2.2509516420818882</v>
      </c>
      <c r="L1254" s="74">
        <v>0.19706927318182155</v>
      </c>
      <c r="M1254" s="74">
        <v>0.78019440010876184</v>
      </c>
      <c r="N1254" s="74">
        <v>0.18766066857757357</v>
      </c>
    </row>
    <row r="1255" spans="1:14" x14ac:dyDescent="0.25">
      <c r="A1255" t="str">
        <f>VLOOKUP(VALUE(RIGHT(B1255,4)),'Waste Lookups'!$B$1:$C$295,2,FALSE)</f>
        <v>Herbert Minton</v>
      </c>
      <c r="B1255" s="74" t="s">
        <v>796</v>
      </c>
      <c r="C1255" s="74" t="s">
        <v>3218</v>
      </c>
      <c r="D1255" s="74">
        <v>0</v>
      </c>
      <c r="E1255" s="74">
        <v>5.9005799999999988</v>
      </c>
      <c r="F1255" s="74">
        <v>0</v>
      </c>
      <c r="G1255" s="74">
        <v>8.2124100000000002</v>
      </c>
      <c r="H1255" s="74">
        <v>0.51050443699467551</v>
      </c>
      <c r="I1255" s="74"/>
      <c r="J1255" s="74">
        <v>0</v>
      </c>
      <c r="K1255" s="74">
        <v>6.7156844728037433</v>
      </c>
      <c r="L1255" s="74">
        <v>0</v>
      </c>
      <c r="M1255" s="74">
        <v>9.3468700231669057</v>
      </c>
      <c r="N1255" s="74">
        <v>0.58102537730571568</v>
      </c>
    </row>
    <row r="1256" spans="1:14" x14ac:dyDescent="0.25">
      <c r="A1256" t="str">
        <f>VLOOKUP(VALUE(RIGHT(B1256,4)),'Waste Lookups'!$B$1:$C$295,2,FALSE)</f>
        <v>Heron House</v>
      </c>
      <c r="B1256" s="74" t="s">
        <v>727</v>
      </c>
      <c r="C1256" s="74" t="s">
        <v>3219</v>
      </c>
      <c r="D1256" s="74">
        <v>0</v>
      </c>
      <c r="E1256" s="74">
        <v>15.686279999999998</v>
      </c>
      <c r="F1256" s="74">
        <v>0</v>
      </c>
      <c r="G1256" s="74">
        <v>1.9670399999999999</v>
      </c>
      <c r="H1256" s="74">
        <v>3.5553318872017354</v>
      </c>
      <c r="I1256" s="74"/>
      <c r="J1256" s="74">
        <v>0</v>
      </c>
      <c r="K1256" s="74">
        <v>15.880909843669681</v>
      </c>
      <c r="L1256" s="74">
        <v>0</v>
      </c>
      <c r="M1256" s="74">
        <v>1.9914463402981464</v>
      </c>
      <c r="N1256" s="74">
        <v>3.5994451944613215</v>
      </c>
    </row>
    <row r="1257" spans="1:14" x14ac:dyDescent="0.25">
      <c r="A1257" t="e">
        <f>VLOOKUP(VALUE(RIGHT(B1257,4)),'Waste Lookups'!$B$1:$C$295,2,FALSE)</f>
        <v>#N/A</v>
      </c>
      <c r="B1257" s="74" t="s">
        <v>3220</v>
      </c>
      <c r="C1257" s="74" t="s">
        <v>3221</v>
      </c>
      <c r="D1257" s="74">
        <v>0</v>
      </c>
      <c r="E1257" s="74">
        <v>2.9951400000000001</v>
      </c>
      <c r="F1257" s="74">
        <v>0</v>
      </c>
      <c r="G1257" s="74">
        <v>0.95291999999999999</v>
      </c>
      <c r="H1257" s="74">
        <v>0</v>
      </c>
      <c r="I1257" s="74"/>
      <c r="J1257" s="74">
        <v>0</v>
      </c>
      <c r="K1257" s="74">
        <v>3.1874585431437685</v>
      </c>
      <c r="L1257" s="74">
        <v>0</v>
      </c>
      <c r="M1257" s="74">
        <v>1.0141071852843471</v>
      </c>
      <c r="N1257" s="74">
        <v>0</v>
      </c>
    </row>
    <row r="1258" spans="1:14" x14ac:dyDescent="0.25">
      <c r="A1258" t="e">
        <f>VLOOKUP(VALUE(RIGHT(B1258,4)),'Waste Lookups'!$B$1:$C$295,2,FALSE)</f>
        <v>#N/A</v>
      </c>
      <c r="B1258" s="74" t="s">
        <v>3222</v>
      </c>
      <c r="C1258" s="74" t="s">
        <v>3223</v>
      </c>
      <c r="D1258" s="74">
        <v>0</v>
      </c>
      <c r="E1258" s="74">
        <v>8.1000000000000003E-2</v>
      </c>
      <c r="F1258" s="74">
        <v>7.0981818181818188E-2</v>
      </c>
      <c r="G1258" s="74">
        <v>0</v>
      </c>
      <c r="H1258" s="74">
        <v>0</v>
      </c>
      <c r="I1258" s="74"/>
      <c r="J1258" s="74">
        <v>0</v>
      </c>
      <c r="K1258" s="74">
        <v>0.63368290826037299</v>
      </c>
      <c r="L1258" s="74">
        <v>0.5553082096180687</v>
      </c>
      <c r="M1258" s="74">
        <v>0</v>
      </c>
      <c r="N1258" s="74">
        <v>0</v>
      </c>
    </row>
    <row r="1259" spans="1:14" x14ac:dyDescent="0.25">
      <c r="A1259" t="e">
        <f>VLOOKUP(VALUE(RIGHT(B1259,4)),'Waste Lookups'!$B$1:$C$295,2,FALSE)</f>
        <v>#N/A</v>
      </c>
      <c r="B1259" s="74" t="s">
        <v>3224</v>
      </c>
      <c r="C1259" s="74" t="s">
        <v>3225</v>
      </c>
      <c r="D1259" s="74">
        <v>0.33424242424242423</v>
      </c>
      <c r="E1259" s="74">
        <v>2.0901000000000005</v>
      </c>
      <c r="F1259" s="74">
        <v>0.30198181818181818</v>
      </c>
      <c r="G1259" s="74">
        <v>2.3141700000000003</v>
      </c>
      <c r="H1259" s="74">
        <v>0</v>
      </c>
      <c r="I1259" s="74"/>
      <c r="J1259" s="74">
        <v>0.40193933535177157</v>
      </c>
      <c r="K1259" s="74">
        <v>2.5134254178620439</v>
      </c>
      <c r="L1259" s="74">
        <v>0.36314471917629582</v>
      </c>
      <c r="M1259" s="74">
        <v>2.7828781872895103</v>
      </c>
      <c r="N1259" s="74">
        <v>0</v>
      </c>
    </row>
    <row r="1260" spans="1:14" x14ac:dyDescent="0.25">
      <c r="A1260" t="e">
        <f>VLOOKUP(VALUE(RIGHT(B1260,4)),'Waste Lookups'!$B$1:$C$295,2,FALSE)</f>
        <v>#N/A</v>
      </c>
      <c r="B1260" s="74" t="s">
        <v>3226</v>
      </c>
      <c r="C1260" s="74" t="s">
        <v>3227</v>
      </c>
      <c r="D1260" s="74">
        <v>3.3377878787878794</v>
      </c>
      <c r="E1260" s="74">
        <v>9.8421599999999998</v>
      </c>
      <c r="F1260" s="74">
        <v>0</v>
      </c>
      <c r="G1260" s="74">
        <v>4.9977</v>
      </c>
      <c r="H1260" s="74">
        <v>0.69258450009859984</v>
      </c>
      <c r="I1260" s="74"/>
      <c r="J1260" s="74">
        <v>2.8547694403106556</v>
      </c>
      <c r="K1260" s="74">
        <v>8.4178799297609661</v>
      </c>
      <c r="L1260" s="74">
        <v>0</v>
      </c>
      <c r="M1260" s="74">
        <v>4.2744721204457541</v>
      </c>
      <c r="N1260" s="74">
        <v>0.59235911253663176</v>
      </c>
    </row>
    <row r="1261" spans="1:14" x14ac:dyDescent="0.25">
      <c r="A1261" t="e">
        <f>VLOOKUP(VALUE(RIGHT(B1261,4)),'Waste Lookups'!$B$1:$C$295,2,FALSE)</f>
        <v>#N/A</v>
      </c>
      <c r="B1261" s="74" t="s">
        <v>3228</v>
      </c>
      <c r="C1261" s="74" t="s">
        <v>3229</v>
      </c>
      <c r="D1261" s="74">
        <v>0</v>
      </c>
      <c r="E1261" s="74">
        <v>0</v>
      </c>
      <c r="F1261" s="74">
        <v>1.5605090909090908</v>
      </c>
      <c r="G1261" s="74">
        <v>0</v>
      </c>
      <c r="H1261" s="74">
        <v>0</v>
      </c>
      <c r="I1261" s="74"/>
      <c r="J1261" s="74">
        <v>0</v>
      </c>
      <c r="K1261" s="74">
        <v>0</v>
      </c>
      <c r="L1261" s="74">
        <v>0</v>
      </c>
      <c r="M1261" s="74">
        <v>0</v>
      </c>
      <c r="N1261" s="74">
        <v>0</v>
      </c>
    </row>
    <row r="1262" spans="1:14" x14ac:dyDescent="0.25">
      <c r="A1262" t="e">
        <f>VLOOKUP(VALUE(RIGHT(B1262,4)),'Waste Lookups'!$B$1:$C$295,2,FALSE)</f>
        <v>#N/A</v>
      </c>
      <c r="B1262" s="74" t="s">
        <v>3230</v>
      </c>
      <c r="C1262" s="74" t="s">
        <v>3231</v>
      </c>
      <c r="D1262" s="74">
        <v>1.5424242424242425</v>
      </c>
      <c r="E1262" s="74">
        <v>1.2738000000000003</v>
      </c>
      <c r="F1262" s="74">
        <v>0</v>
      </c>
      <c r="G1262" s="74">
        <v>2.7837000000000001</v>
      </c>
      <c r="H1262" s="74">
        <v>0.12721751133898637</v>
      </c>
      <c r="I1262" s="74"/>
      <c r="J1262" s="74">
        <v>0.86963375495563533</v>
      </c>
      <c r="K1262" s="74">
        <v>0.71818080045308663</v>
      </c>
      <c r="L1262" s="74">
        <v>0</v>
      </c>
      <c r="M1262" s="74">
        <v>1.5694770719275062</v>
      </c>
      <c r="N1262" s="74">
        <v>7.1726467361503274E-2</v>
      </c>
    </row>
    <row r="1263" spans="1:14" x14ac:dyDescent="0.25">
      <c r="A1263" t="e">
        <f>VLOOKUP(VALUE(RIGHT(B1263,4)),'Waste Lookups'!$B$1:$C$295,2,FALSE)</f>
        <v>#N/A</v>
      </c>
      <c r="B1263" s="74" t="s">
        <v>3232</v>
      </c>
      <c r="C1263" s="74" t="s">
        <v>3233</v>
      </c>
      <c r="D1263" s="74">
        <v>0</v>
      </c>
      <c r="E1263" s="74">
        <v>3.4857000000000005</v>
      </c>
      <c r="F1263" s="74">
        <v>0</v>
      </c>
      <c r="G1263" s="74">
        <v>0.89279999999999993</v>
      </c>
      <c r="H1263" s="74">
        <v>0.36424847170183394</v>
      </c>
      <c r="I1263" s="74"/>
      <c r="J1263" s="74">
        <v>0</v>
      </c>
      <c r="K1263" s="74">
        <v>3.4038378594563405</v>
      </c>
      <c r="L1263" s="74">
        <v>0</v>
      </c>
      <c r="M1263" s="74">
        <v>0.87183247006989129</v>
      </c>
      <c r="N1263" s="74">
        <v>0.3556940465983342</v>
      </c>
    </row>
    <row r="1264" spans="1:14" x14ac:dyDescent="0.25">
      <c r="A1264" t="e">
        <f>VLOOKUP(VALUE(RIGHT(B1264,4)),'Waste Lookups'!$B$1:$C$295,2,FALSE)</f>
        <v>#N/A</v>
      </c>
      <c r="B1264" s="74" t="s">
        <v>3234</v>
      </c>
      <c r="C1264" s="74" t="s">
        <v>3235</v>
      </c>
      <c r="D1264" s="74">
        <v>0</v>
      </c>
      <c r="E1264" s="74">
        <v>0</v>
      </c>
      <c r="F1264" s="74">
        <v>0</v>
      </c>
      <c r="G1264" s="74">
        <v>0.23372999999999997</v>
      </c>
      <c r="H1264" s="74">
        <v>1.7094853086176295E-2</v>
      </c>
      <c r="I1264" s="74"/>
      <c r="J1264" s="74">
        <v>0</v>
      </c>
      <c r="K1264" s="74">
        <v>0</v>
      </c>
      <c r="L1264" s="74">
        <v>0</v>
      </c>
      <c r="M1264" s="74">
        <v>8.7237529323056312E-2</v>
      </c>
      <c r="N1264" s="74">
        <v>6.380493506946667E-3</v>
      </c>
    </row>
    <row r="1265" spans="1:14" x14ac:dyDescent="0.25">
      <c r="A1265" t="e">
        <f>VLOOKUP(VALUE(RIGHT(B1265,4)),'Waste Lookups'!$B$1:$C$295,2,FALSE)</f>
        <v>#N/A</v>
      </c>
      <c r="B1265" s="74" t="s">
        <v>3236</v>
      </c>
      <c r="C1265" s="74" t="s">
        <v>3237</v>
      </c>
      <c r="D1265" s="74">
        <v>0</v>
      </c>
      <c r="E1265" s="74">
        <v>6.6793800000000001</v>
      </c>
      <c r="F1265" s="74">
        <v>9.9490909090909102E-2</v>
      </c>
      <c r="G1265" s="74">
        <v>1.4039999999999999</v>
      </c>
      <c r="H1265" s="74">
        <v>0.68909485308617624</v>
      </c>
      <c r="I1265" s="74"/>
      <c r="J1265" s="74">
        <v>0</v>
      </c>
      <c r="K1265" s="74">
        <v>7.5098249828034715</v>
      </c>
      <c r="L1265" s="74">
        <v>0.11186057907361735</v>
      </c>
      <c r="M1265" s="74">
        <v>1.578558829690192</v>
      </c>
      <c r="N1265" s="74">
        <v>0.77476977552225734</v>
      </c>
    </row>
    <row r="1266" spans="1:14" x14ac:dyDescent="0.25">
      <c r="A1266" t="e">
        <f>VLOOKUP(VALUE(RIGHT(B1266,4)),'Waste Lookups'!$B$1:$C$295,2,FALSE)</f>
        <v>#N/A</v>
      </c>
      <c r="B1266" s="74" t="s">
        <v>3238</v>
      </c>
      <c r="C1266" s="74" t="s">
        <v>3239</v>
      </c>
      <c r="D1266" s="74">
        <v>0</v>
      </c>
      <c r="E1266" s="74">
        <v>9.9205199999999998</v>
      </c>
      <c r="F1266" s="74">
        <v>0</v>
      </c>
      <c r="G1266" s="74">
        <v>1.6721999999999999</v>
      </c>
      <c r="H1266" s="74">
        <v>0.70618970617235255</v>
      </c>
      <c r="I1266" s="74"/>
      <c r="J1266" s="74">
        <v>0</v>
      </c>
      <c r="K1266" s="74">
        <v>10.645692747400066</v>
      </c>
      <c r="L1266" s="74">
        <v>0</v>
      </c>
      <c r="M1266" s="74">
        <v>1.7944349098839969</v>
      </c>
      <c r="N1266" s="74">
        <v>0.75781094471737331</v>
      </c>
    </row>
    <row r="1267" spans="1:14" x14ac:dyDescent="0.25">
      <c r="A1267" t="str">
        <f>VLOOKUP(VALUE(RIGHT(B1267,4)),'Waste Lookups'!$B$1:$C$295,2,FALSE)</f>
        <v>Edwin House</v>
      </c>
      <c r="B1267" s="74" t="s">
        <v>798</v>
      </c>
      <c r="C1267" s="74" t="s">
        <v>3240</v>
      </c>
      <c r="D1267" s="74">
        <v>0</v>
      </c>
      <c r="E1267" s="74">
        <v>5.4338999999999995</v>
      </c>
      <c r="F1267" s="74">
        <v>0</v>
      </c>
      <c r="G1267" s="74">
        <v>3.1589999999999998</v>
      </c>
      <c r="H1267" s="74">
        <v>0.51682113981463229</v>
      </c>
      <c r="I1267" s="74"/>
      <c r="J1267" s="74">
        <v>0</v>
      </c>
      <c r="K1267" s="74">
        <v>6.1006157094237983</v>
      </c>
      <c r="L1267" s="74">
        <v>0</v>
      </c>
      <c r="M1267" s="74">
        <v>3.5465954518982272</v>
      </c>
      <c r="N1267" s="74">
        <v>0.58023282808212495</v>
      </c>
    </row>
    <row r="1268" spans="1:14" x14ac:dyDescent="0.25">
      <c r="A1268" t="e">
        <f>VLOOKUP(VALUE(RIGHT(B1268,4)),'Waste Lookups'!$B$1:$C$295,2,FALSE)</f>
        <v>#N/A</v>
      </c>
      <c r="B1268" s="74" t="s">
        <v>3241</v>
      </c>
      <c r="C1268" s="74" t="s">
        <v>3242</v>
      </c>
      <c r="D1268" s="74">
        <v>0</v>
      </c>
      <c r="E1268" s="74">
        <v>2.2896600000000005</v>
      </c>
      <c r="F1268" s="74">
        <v>9.9490909090909102E-2</v>
      </c>
      <c r="G1268" s="74">
        <v>0.97046999999999994</v>
      </c>
      <c r="H1268" s="74">
        <v>0.36164227962926443</v>
      </c>
      <c r="I1268" s="74"/>
      <c r="J1268" s="74">
        <v>0</v>
      </c>
      <c r="K1268" s="74">
        <v>3.6308786742648116</v>
      </c>
      <c r="L1268" s="74">
        <v>0.15776989601137328</v>
      </c>
      <c r="M1268" s="74">
        <v>1.5389441345063333</v>
      </c>
      <c r="N1268" s="74">
        <v>0.57348219422028057</v>
      </c>
    </row>
    <row r="1269" spans="1:14" x14ac:dyDescent="0.25">
      <c r="A1269" t="e">
        <f>VLOOKUP(VALUE(RIGHT(B1269,4)),'Waste Lookups'!$B$1:$C$295,2,FALSE)</f>
        <v>#N/A</v>
      </c>
      <c r="B1269" s="74" t="s">
        <v>3243</v>
      </c>
      <c r="C1269" s="74" t="s">
        <v>3244</v>
      </c>
      <c r="D1269" s="74">
        <v>0</v>
      </c>
      <c r="E1269" s="74">
        <v>9.3744599999999991</v>
      </c>
      <c r="F1269" s="74">
        <v>0.29585454545454548</v>
      </c>
      <c r="G1269" s="74">
        <v>1.9034999999999997</v>
      </c>
      <c r="H1269" s="74">
        <v>0.72328455925852886</v>
      </c>
      <c r="I1269" s="74"/>
      <c r="J1269" s="74">
        <v>0</v>
      </c>
      <c r="K1269" s="74">
        <v>9.8698650056894746</v>
      </c>
      <c r="L1269" s="74">
        <v>0.31148934711503212</v>
      </c>
      <c r="M1269" s="74">
        <v>2.004092826501997</v>
      </c>
      <c r="N1269" s="74">
        <v>0.76150743195675163</v>
      </c>
    </row>
    <row r="1270" spans="1:14" x14ac:dyDescent="0.25">
      <c r="A1270" t="e">
        <f>VLOOKUP(VALUE(RIGHT(B1270,4)),'Waste Lookups'!$B$1:$C$295,2,FALSE)</f>
        <v>#N/A</v>
      </c>
      <c r="B1270" s="74" t="s">
        <v>3245</v>
      </c>
      <c r="C1270" s="74" t="s">
        <v>3246</v>
      </c>
      <c r="D1270" s="74">
        <v>0</v>
      </c>
      <c r="E1270" s="74">
        <v>5.9251799999999992</v>
      </c>
      <c r="F1270" s="74">
        <v>0</v>
      </c>
      <c r="G1270" s="74">
        <v>2.3744699999999996</v>
      </c>
      <c r="H1270" s="74">
        <v>2.6515574837310196</v>
      </c>
      <c r="I1270" s="74"/>
      <c r="J1270" s="74">
        <v>0</v>
      </c>
      <c r="K1270" s="74">
        <v>4.2282276436167052</v>
      </c>
      <c r="L1270" s="74">
        <v>0</v>
      </c>
      <c r="M1270" s="74">
        <v>1.6944294844947423</v>
      </c>
      <c r="N1270" s="74">
        <v>1.8921600105566834</v>
      </c>
    </row>
    <row r="1271" spans="1:14" x14ac:dyDescent="0.25">
      <c r="A1271" t="e">
        <f>VLOOKUP(VALUE(RIGHT(B1271,4)),'Waste Lookups'!$B$1:$C$295,2,FALSE)</f>
        <v>#N/A</v>
      </c>
      <c r="B1271" s="74" t="s">
        <v>3247</v>
      </c>
      <c r="C1271" s="74" t="s">
        <v>3248</v>
      </c>
      <c r="D1271" s="74">
        <v>0</v>
      </c>
      <c r="E1271" s="74">
        <v>2.7597599999999995</v>
      </c>
      <c r="F1271" s="74">
        <v>9.9490909090909102E-2</v>
      </c>
      <c r="G1271" s="74">
        <v>0.97046999999999994</v>
      </c>
      <c r="H1271" s="74">
        <v>0.36164227962926443</v>
      </c>
      <c r="I1271" s="74"/>
      <c r="J1271" s="74">
        <v>0</v>
      </c>
      <c r="K1271" s="74">
        <v>3.8744371907209172</v>
      </c>
      <c r="L1271" s="74">
        <v>0.13967565234674464</v>
      </c>
      <c r="M1271" s="74">
        <v>1.3624463940628637</v>
      </c>
      <c r="N1271" s="74">
        <v>0.50771092338924972</v>
      </c>
    </row>
    <row r="1272" spans="1:14" x14ac:dyDescent="0.25">
      <c r="A1272" t="e">
        <f>VLOOKUP(VALUE(RIGHT(B1272,4)),'Waste Lookups'!$B$1:$C$295,2,FALSE)</f>
        <v>#N/A</v>
      </c>
      <c r="B1272" s="74" t="s">
        <v>3249</v>
      </c>
      <c r="C1272" s="74" t="s">
        <v>3250</v>
      </c>
      <c r="D1272" s="74">
        <v>0</v>
      </c>
      <c r="E1272" s="74">
        <v>4.6374599999999999</v>
      </c>
      <c r="F1272" s="74">
        <v>0</v>
      </c>
      <c r="G1272" s="74">
        <v>0.70199999999999996</v>
      </c>
      <c r="H1272" s="74">
        <v>0.34454742654308812</v>
      </c>
      <c r="I1272" s="74"/>
      <c r="J1272" s="74">
        <v>0</v>
      </c>
      <c r="K1272" s="74">
        <v>4.672851724548126</v>
      </c>
      <c r="L1272" s="74">
        <v>0</v>
      </c>
      <c r="M1272" s="74">
        <v>0.70735745658890514</v>
      </c>
      <c r="N1272" s="74">
        <v>0.34717691070337819</v>
      </c>
    </row>
    <row r="1273" spans="1:14" x14ac:dyDescent="0.25">
      <c r="A1273" t="e">
        <f>VLOOKUP(VALUE(RIGHT(B1273,4)),'Waste Lookups'!$B$1:$C$295,2,FALSE)</f>
        <v>#N/A</v>
      </c>
      <c r="B1273" s="74" t="s">
        <v>3251</v>
      </c>
      <c r="C1273" s="74" t="s">
        <v>3252</v>
      </c>
      <c r="D1273" s="74">
        <v>0</v>
      </c>
      <c r="E1273" s="74">
        <v>1.6301999999999999</v>
      </c>
      <c r="F1273" s="74">
        <v>9.9490909090909102E-2</v>
      </c>
      <c r="G1273" s="74">
        <v>0.61946999999999997</v>
      </c>
      <c r="H1273" s="74">
        <v>0.18936856635772037</v>
      </c>
      <c r="I1273" s="74"/>
      <c r="J1273" s="74">
        <v>0</v>
      </c>
      <c r="K1273" s="74">
        <v>1.8073953825435953</v>
      </c>
      <c r="L1273" s="74">
        <v>0.11030512188441526</v>
      </c>
      <c r="M1273" s="74">
        <v>0.68680359319364559</v>
      </c>
      <c r="N1273" s="74">
        <v>0.20995207485820408</v>
      </c>
    </row>
    <row r="1274" spans="1:14" x14ac:dyDescent="0.25">
      <c r="A1274" t="e">
        <f>VLOOKUP(VALUE(RIGHT(B1274,4)),'Waste Lookups'!$B$1:$C$295,2,FALSE)</f>
        <v>#N/A</v>
      </c>
      <c r="B1274" s="74" t="s">
        <v>3253</v>
      </c>
      <c r="C1274" s="74" t="s">
        <v>3254</v>
      </c>
      <c r="D1274" s="74">
        <v>0</v>
      </c>
      <c r="E1274" s="74">
        <v>1.5918599999999998</v>
      </c>
      <c r="F1274" s="74">
        <v>0</v>
      </c>
      <c r="G1274" s="74">
        <v>0.35099999999999998</v>
      </c>
      <c r="H1274" s="74">
        <v>0.17227371327154406</v>
      </c>
      <c r="I1274" s="74"/>
      <c r="J1274" s="74">
        <v>0</v>
      </c>
      <c r="K1274" s="74">
        <v>2.3814569032361419</v>
      </c>
      <c r="L1274" s="74">
        <v>0</v>
      </c>
      <c r="M1274" s="74">
        <v>0.5251035725728932</v>
      </c>
      <c r="N1274" s="74">
        <v>0.25772519173585767</v>
      </c>
    </row>
    <row r="1275" spans="1:14" x14ac:dyDescent="0.25">
      <c r="A1275" t="str">
        <f>VLOOKUP(VALUE(RIGHT(B1275,4)),'Waste Lookups'!$B$1:$C$295,2,FALSE)</f>
        <v>Merlin House</v>
      </c>
      <c r="B1275" s="74" t="s">
        <v>795</v>
      </c>
      <c r="C1275" s="74" t="s">
        <v>3255</v>
      </c>
      <c r="D1275" s="74">
        <v>0</v>
      </c>
      <c r="E1275" s="74">
        <v>14.801400000000001</v>
      </c>
      <c r="F1275" s="74">
        <v>0</v>
      </c>
      <c r="G1275" s="74">
        <v>6.3179999999999996</v>
      </c>
      <c r="H1275" s="74">
        <v>3.347189903372116</v>
      </c>
      <c r="I1275" s="74"/>
      <c r="J1275" s="74">
        <v>0</v>
      </c>
      <c r="K1275" s="74">
        <v>12.875670631454293</v>
      </c>
      <c r="L1275" s="74">
        <v>0</v>
      </c>
      <c r="M1275" s="74">
        <v>5.4959995033934783</v>
      </c>
      <c r="N1275" s="74">
        <v>2.9117052938741392</v>
      </c>
    </row>
    <row r="1276" spans="1:14" x14ac:dyDescent="0.25">
      <c r="A1276" t="e">
        <f>VLOOKUP(VALUE(RIGHT(B1276,4)),'Waste Lookups'!$B$1:$C$295,2,FALSE)</f>
        <v>#N/A</v>
      </c>
      <c r="B1276" s="74" t="s">
        <v>3256</v>
      </c>
      <c r="C1276" s="74" t="s">
        <v>3257</v>
      </c>
      <c r="D1276" s="74">
        <v>0</v>
      </c>
      <c r="E1276" s="74">
        <v>3.2505600000000001</v>
      </c>
      <c r="F1276" s="74">
        <v>9.9490909090909102E-2</v>
      </c>
      <c r="G1276" s="74">
        <v>0.97046999999999994</v>
      </c>
      <c r="H1276" s="74">
        <v>0.36164227962926443</v>
      </c>
      <c r="I1276" s="74"/>
      <c r="J1276" s="74">
        <v>0</v>
      </c>
      <c r="K1276" s="74">
        <v>3.9160555638657808</v>
      </c>
      <c r="L1276" s="74">
        <v>0.11985994047164772</v>
      </c>
      <c r="M1276" s="74">
        <v>1.1691568354575288</v>
      </c>
      <c r="N1276" s="74">
        <v>0.43568223975908327</v>
      </c>
    </row>
    <row r="1277" spans="1:14" x14ac:dyDescent="0.25">
      <c r="A1277" t="e">
        <f>VLOOKUP(VALUE(RIGHT(B1277,4)),'Waste Lookups'!$B$1:$C$295,2,FALSE)</f>
        <v>#N/A</v>
      </c>
      <c r="B1277" s="74" t="s">
        <v>3258</v>
      </c>
      <c r="C1277" s="74" t="s">
        <v>3259</v>
      </c>
      <c r="D1277" s="74">
        <v>5.454545454545455E-2</v>
      </c>
      <c r="E1277" s="74">
        <v>6.4204799999999995</v>
      </c>
      <c r="F1277" s="74">
        <v>0.39403636363636368</v>
      </c>
      <c r="G1277" s="74">
        <v>1.4039999999999999</v>
      </c>
      <c r="H1277" s="74">
        <v>0.68909485308617624</v>
      </c>
      <c r="I1277" s="74"/>
      <c r="J1277" s="74">
        <v>6.8808758040573972E-2</v>
      </c>
      <c r="K1277" s="74">
        <v>8.0993963384463115</v>
      </c>
      <c r="L1277" s="74">
        <v>0.49707446808510641</v>
      </c>
      <c r="M1277" s="74">
        <v>1.7711374319643738</v>
      </c>
      <c r="N1277" s="74">
        <v>0.86928895190521216</v>
      </c>
    </row>
    <row r="1278" spans="1:14" x14ac:dyDescent="0.25">
      <c r="A1278" t="e">
        <f>VLOOKUP(VALUE(RIGHT(B1278,4)),'Waste Lookups'!$B$1:$C$295,2,FALSE)</f>
        <v>#N/A</v>
      </c>
      <c r="B1278" s="74" t="s">
        <v>3260</v>
      </c>
      <c r="C1278" s="74" t="s">
        <v>3261</v>
      </c>
      <c r="D1278" s="74">
        <v>0</v>
      </c>
      <c r="E1278" s="74">
        <v>4.7747999999999999</v>
      </c>
      <c r="F1278" s="74">
        <v>9.9490909090909102E-2</v>
      </c>
      <c r="G1278" s="74">
        <v>1.3245299999999998</v>
      </c>
      <c r="H1278" s="74">
        <v>0.53387182015381573</v>
      </c>
      <c r="I1278" s="74"/>
      <c r="J1278" s="74">
        <v>0</v>
      </c>
      <c r="K1278" s="74">
        <v>6.7643853748156086</v>
      </c>
      <c r="L1278" s="74">
        <v>0.1409472334719056</v>
      </c>
      <c r="M1278" s="74">
        <v>1.8764411829824326</v>
      </c>
      <c r="N1278" s="74">
        <v>0.75632795766831307</v>
      </c>
    </row>
    <row r="1279" spans="1:14" x14ac:dyDescent="0.25">
      <c r="A1279" t="e">
        <f>VLOOKUP(VALUE(RIGHT(B1279,4)),'Waste Lookups'!$B$1:$C$295,2,FALSE)</f>
        <v>#N/A</v>
      </c>
      <c r="B1279" s="74" t="s">
        <v>3262</v>
      </c>
      <c r="C1279" s="74" t="s">
        <v>3263</v>
      </c>
      <c r="D1279" s="74">
        <v>0</v>
      </c>
      <c r="E1279" s="74">
        <v>18.638339999999996</v>
      </c>
      <c r="F1279" s="74">
        <v>0</v>
      </c>
      <c r="G1279" s="74">
        <v>3.0764699999999996</v>
      </c>
      <c r="H1279" s="74">
        <v>1.3952845592585288</v>
      </c>
      <c r="I1279" s="74"/>
      <c r="J1279" s="74">
        <v>0</v>
      </c>
      <c r="K1279" s="74">
        <v>18.57601974707034</v>
      </c>
      <c r="L1279" s="74">
        <v>0</v>
      </c>
      <c r="M1279" s="74">
        <v>3.0661833334550983</v>
      </c>
      <c r="N1279" s="74">
        <v>1.3906192035110836</v>
      </c>
    </row>
    <row r="1280" spans="1:14" x14ac:dyDescent="0.25">
      <c r="A1280" t="e">
        <f>VLOOKUP(VALUE(RIGHT(B1280,4)),'Waste Lookups'!$B$1:$C$295,2,FALSE)</f>
        <v>#N/A</v>
      </c>
      <c r="B1280" s="74" t="s">
        <v>3264</v>
      </c>
      <c r="C1280" s="74" t="s">
        <v>3265</v>
      </c>
      <c r="D1280" s="74">
        <v>0</v>
      </c>
      <c r="E1280" s="74">
        <v>4.7201400000000007</v>
      </c>
      <c r="F1280" s="74">
        <v>9.9490909090909102E-2</v>
      </c>
      <c r="G1280" s="74">
        <v>3.5505899999999997</v>
      </c>
      <c r="H1280" s="74">
        <v>0.53391599290080849</v>
      </c>
      <c r="I1280" s="74"/>
      <c r="J1280" s="74">
        <v>0</v>
      </c>
      <c r="K1280" s="74">
        <v>5.8616258622189115</v>
      </c>
      <c r="L1280" s="74">
        <v>0.12355109928581427</v>
      </c>
      <c r="M1280" s="74">
        <v>4.4092400162147403</v>
      </c>
      <c r="N1280" s="74">
        <v>0.66303452699277332</v>
      </c>
    </row>
    <row r="1281" spans="1:14" x14ac:dyDescent="0.25">
      <c r="A1281" t="e">
        <f>VLOOKUP(VALUE(RIGHT(B1281,4)),'Waste Lookups'!$B$1:$C$295,2,FALSE)</f>
        <v>#N/A</v>
      </c>
      <c r="B1281" s="74" t="s">
        <v>3266</v>
      </c>
      <c r="C1281" s="74" t="s">
        <v>3267</v>
      </c>
      <c r="D1281" s="74">
        <v>0</v>
      </c>
      <c r="E1281" s="74">
        <v>5.7731400000000006</v>
      </c>
      <c r="F1281" s="74">
        <v>0.29585454545454548</v>
      </c>
      <c r="G1281" s="74">
        <v>1.5507</v>
      </c>
      <c r="H1281" s="74">
        <v>0.53387182015381573</v>
      </c>
      <c r="I1281" s="74"/>
      <c r="J1281" s="74">
        <v>0</v>
      </c>
      <c r="K1281" s="74">
        <v>6.1629875219488461</v>
      </c>
      <c r="L1281" s="74">
        <v>0.31583295605999706</v>
      </c>
      <c r="M1281" s="74">
        <v>1.6554153805877001</v>
      </c>
      <c r="N1281" s="74">
        <v>0.56992301692460001</v>
      </c>
    </row>
    <row r="1282" spans="1:14" x14ac:dyDescent="0.25">
      <c r="A1282" t="e">
        <f>VLOOKUP(VALUE(RIGHT(B1282,4)),'Waste Lookups'!$B$1:$C$295,2,FALSE)</f>
        <v>#N/A</v>
      </c>
      <c r="B1282" s="74" t="s">
        <v>3268</v>
      </c>
      <c r="C1282" s="74" t="s">
        <v>3269</v>
      </c>
      <c r="D1282" s="74">
        <v>5.454545454545455E-2</v>
      </c>
      <c r="E1282" s="74">
        <v>3.1987800000000002</v>
      </c>
      <c r="F1282" s="74">
        <v>6.6763636363636372E-2</v>
      </c>
      <c r="G1282" s="74">
        <v>0.70199999999999996</v>
      </c>
      <c r="H1282" s="74">
        <v>0.34454742654308812</v>
      </c>
      <c r="I1282" s="74"/>
      <c r="J1282" s="74">
        <v>8.5398265779391011E-2</v>
      </c>
      <c r="K1282" s="74">
        <v>5.0081215178463392</v>
      </c>
      <c r="L1282" s="74">
        <v>0.10452747731397459</v>
      </c>
      <c r="M1282" s="74">
        <v>1.099075680580762</v>
      </c>
      <c r="N1282" s="74">
        <v>0.5394354662680837</v>
      </c>
    </row>
    <row r="1283" spans="1:14" x14ac:dyDescent="0.25">
      <c r="A1283" t="e">
        <f>VLOOKUP(VALUE(RIGHT(B1283,4)),'Waste Lookups'!$B$1:$C$295,2,FALSE)</f>
        <v>#N/A</v>
      </c>
      <c r="B1283" s="74" t="s">
        <v>3270</v>
      </c>
      <c r="C1283" s="74" t="s">
        <v>3271</v>
      </c>
      <c r="D1283" s="74">
        <v>0</v>
      </c>
      <c r="E1283" s="74">
        <v>6.966E-2</v>
      </c>
      <c r="F1283" s="74">
        <v>9.9490909090909102E-2</v>
      </c>
      <c r="G1283" s="74">
        <v>0.26846999999999999</v>
      </c>
      <c r="H1283" s="74">
        <v>1.7050680339183593E-2</v>
      </c>
      <c r="I1283" s="74"/>
      <c r="J1283" s="74">
        <v>0</v>
      </c>
      <c r="K1283" s="74">
        <v>4.2008188362327524E-2</v>
      </c>
      <c r="L1283" s="74">
        <v>5.9997600479904024E-2</v>
      </c>
      <c r="M1283" s="74">
        <v>0.16189977504499095</v>
      </c>
      <c r="N1283" s="74">
        <v>1.0282345555473141E-2</v>
      </c>
    </row>
    <row r="1284" spans="1:14" x14ac:dyDescent="0.25">
      <c r="A1284" t="e">
        <f>VLOOKUP(VALUE(RIGHT(B1284,4)),'Waste Lookups'!$B$1:$C$295,2,FALSE)</f>
        <v>#N/A</v>
      </c>
      <c r="B1284" s="74" t="s">
        <v>3272</v>
      </c>
      <c r="C1284" s="74" t="s">
        <v>3273</v>
      </c>
      <c r="D1284" s="74">
        <v>0</v>
      </c>
      <c r="E1284" s="74">
        <v>1.6166999999999998</v>
      </c>
      <c r="F1284" s="74">
        <v>0</v>
      </c>
      <c r="G1284" s="74">
        <v>0.35099999999999998</v>
      </c>
      <c r="H1284" s="74">
        <v>0.17227371327154406</v>
      </c>
      <c r="I1284" s="74"/>
      <c r="J1284" s="74">
        <v>0</v>
      </c>
      <c r="K1284" s="74">
        <v>2.1776437940710895</v>
      </c>
      <c r="L1284" s="74">
        <v>0</v>
      </c>
      <c r="M1284" s="74">
        <v>0.47278590444668295</v>
      </c>
      <c r="N1284" s="74">
        <v>0.23204724598710968</v>
      </c>
    </row>
    <row r="1285" spans="1:14" x14ac:dyDescent="0.25">
      <c r="A1285" t="e">
        <f>VLOOKUP(VALUE(RIGHT(B1285,4)),'Waste Lookups'!$B$1:$C$295,2,FALSE)</f>
        <v>#N/A</v>
      </c>
      <c r="B1285" s="74" t="s">
        <v>3274</v>
      </c>
      <c r="C1285" s="74" t="s">
        <v>3275</v>
      </c>
      <c r="D1285" s="74">
        <v>0</v>
      </c>
      <c r="E1285" s="74">
        <v>1.5918599999999998</v>
      </c>
      <c r="F1285" s="74">
        <v>9.9490909090909102E-2</v>
      </c>
      <c r="G1285" s="74">
        <v>0.35099999999999998</v>
      </c>
      <c r="H1285" s="74">
        <v>0.17227371327154406</v>
      </c>
      <c r="I1285" s="74"/>
      <c r="J1285" s="74">
        <v>0</v>
      </c>
      <c r="K1285" s="74">
        <v>2.0540611749114386</v>
      </c>
      <c r="L1285" s="74">
        <v>0.12837838353892922</v>
      </c>
      <c r="M1285" s="74">
        <v>0.45291386955757101</v>
      </c>
      <c r="N1285" s="74">
        <v>0.222293886327255</v>
      </c>
    </row>
    <row r="1286" spans="1:14" x14ac:dyDescent="0.25">
      <c r="A1286" t="e">
        <f>VLOOKUP(VALUE(RIGHT(B1286,4)),'Waste Lookups'!$B$1:$C$295,2,FALSE)</f>
        <v>#N/A</v>
      </c>
      <c r="B1286" s="74" t="s">
        <v>3276</v>
      </c>
      <c r="C1286" s="74" t="s">
        <v>3277</v>
      </c>
      <c r="D1286" s="74">
        <v>0</v>
      </c>
      <c r="E1286" s="74">
        <v>3.2192999999999996</v>
      </c>
      <c r="F1286" s="74">
        <v>0.4267636363636364</v>
      </c>
      <c r="G1286" s="74">
        <v>0.97046999999999994</v>
      </c>
      <c r="H1286" s="74">
        <v>0.36159810688227173</v>
      </c>
      <c r="I1286" s="74"/>
      <c r="J1286" s="74">
        <v>0</v>
      </c>
      <c r="K1286" s="74">
        <v>3.3649227163461539</v>
      </c>
      <c r="L1286" s="74">
        <v>0.44606798201798209</v>
      </c>
      <c r="M1286" s="74">
        <v>1.0143685113324177</v>
      </c>
      <c r="N1286" s="74">
        <v>0.37795473675517061</v>
      </c>
    </row>
    <row r="1287" spans="1:14" x14ac:dyDescent="0.25">
      <c r="A1287" t="e">
        <f>VLOOKUP(VALUE(RIGHT(B1287,4)),'Waste Lookups'!$B$1:$C$295,2,FALSE)</f>
        <v>#N/A</v>
      </c>
      <c r="B1287" s="74" t="s">
        <v>3278</v>
      </c>
      <c r="C1287" s="74" t="s">
        <v>3279</v>
      </c>
      <c r="D1287" s="74">
        <v>0</v>
      </c>
      <c r="E1287" s="74">
        <v>9.3614999999999995</v>
      </c>
      <c r="F1287" s="74">
        <v>0</v>
      </c>
      <c r="G1287" s="74">
        <v>1.6724700000000003</v>
      </c>
      <c r="H1287" s="74">
        <v>0.70618970617235255</v>
      </c>
      <c r="I1287" s="74"/>
      <c r="J1287" s="74">
        <v>0</v>
      </c>
      <c r="K1287" s="74">
        <v>9.2494431143261888</v>
      </c>
      <c r="L1287" s="74">
        <v>0</v>
      </c>
      <c r="M1287" s="74">
        <v>1.6524505822162179</v>
      </c>
      <c r="N1287" s="74">
        <v>0.69773663570623323</v>
      </c>
    </row>
    <row r="1288" spans="1:14" x14ac:dyDescent="0.25">
      <c r="A1288" t="str">
        <f>VLOOKUP(VALUE(RIGHT(B1288,4)),'Waste Lookups'!$B$1:$C$295,2,FALSE)</f>
        <v>Barking Community Hospital</v>
      </c>
      <c r="B1288" s="74" t="s">
        <v>804</v>
      </c>
      <c r="C1288" s="74" t="s">
        <v>3280</v>
      </c>
      <c r="D1288" s="74">
        <v>22.697363636363637</v>
      </c>
      <c r="E1288" s="74">
        <v>48.525120000000001</v>
      </c>
      <c r="F1288" s="74">
        <v>0</v>
      </c>
      <c r="G1288" s="74">
        <v>19.238310000000002</v>
      </c>
      <c r="H1288" s="74">
        <v>0</v>
      </c>
      <c r="I1288" s="74"/>
      <c r="J1288" s="74">
        <v>13.205511986948336</v>
      </c>
      <c r="K1288" s="74">
        <v>28.232312091148636</v>
      </c>
      <c r="L1288" s="74">
        <v>0</v>
      </c>
      <c r="M1288" s="74">
        <v>11.19300626204048</v>
      </c>
      <c r="N1288" s="74">
        <v>0</v>
      </c>
    </row>
    <row r="1289" spans="1:14" x14ac:dyDescent="0.25">
      <c r="A1289" t="e">
        <f>VLOOKUP(VALUE(RIGHT(B1289,4)),'Waste Lookups'!$B$1:$C$295,2,FALSE)</f>
        <v>#N/A</v>
      </c>
      <c r="B1289" s="74" t="s">
        <v>3281</v>
      </c>
      <c r="C1289" s="74" t="s">
        <v>3282</v>
      </c>
      <c r="D1289" s="74">
        <v>1.0992424242424244</v>
      </c>
      <c r="E1289" s="74">
        <v>5.13462</v>
      </c>
      <c r="F1289" s="74">
        <v>0</v>
      </c>
      <c r="G1289" s="74">
        <v>0.65393999999999997</v>
      </c>
      <c r="H1289" s="74">
        <v>0</v>
      </c>
      <c r="I1289" s="74"/>
      <c r="J1289" s="74">
        <v>0.69237226585156397</v>
      </c>
      <c r="K1289" s="74">
        <v>3.2341077866757542</v>
      </c>
      <c r="L1289" s="74">
        <v>0</v>
      </c>
      <c r="M1289" s="74">
        <v>0.41189269040722443</v>
      </c>
      <c r="N1289" s="74">
        <v>0</v>
      </c>
    </row>
    <row r="1290" spans="1:14" x14ac:dyDescent="0.25">
      <c r="A1290" t="e">
        <f>VLOOKUP(VALUE(RIGHT(B1290,4)),'Waste Lookups'!$B$1:$C$295,2,FALSE)</f>
        <v>#N/A</v>
      </c>
      <c r="B1290" s="74" t="s">
        <v>3283</v>
      </c>
      <c r="C1290" s="74" t="s">
        <v>3284</v>
      </c>
      <c r="D1290" s="74">
        <v>2.4261212121212119</v>
      </c>
      <c r="E1290" s="74">
        <v>0</v>
      </c>
      <c r="F1290" s="74">
        <v>0</v>
      </c>
      <c r="G1290" s="74">
        <v>0</v>
      </c>
      <c r="H1290" s="74">
        <v>0</v>
      </c>
      <c r="I1290" s="74"/>
      <c r="J1290" s="74">
        <v>2.9611666666666667</v>
      </c>
      <c r="K1290" s="74">
        <v>0</v>
      </c>
      <c r="L1290" s="74">
        <v>0</v>
      </c>
      <c r="M1290" s="74">
        <v>0</v>
      </c>
      <c r="N1290" s="74">
        <v>0</v>
      </c>
    </row>
    <row r="1291" spans="1:14" x14ac:dyDescent="0.25">
      <c r="A1291" t="e">
        <f>VLOOKUP(VALUE(RIGHT(B1291,4)),'Waste Lookups'!$B$1:$C$295,2,FALSE)</f>
        <v>#N/A</v>
      </c>
      <c r="B1291" s="74" t="s">
        <v>3285</v>
      </c>
      <c r="C1291" s="74" t="s">
        <v>3286</v>
      </c>
      <c r="D1291" s="74">
        <v>1.3812121212121213</v>
      </c>
      <c r="E1291" s="74">
        <v>7.6239000000000008</v>
      </c>
      <c r="F1291" s="74">
        <v>0</v>
      </c>
      <c r="G1291" s="74">
        <v>5.8681799999999997</v>
      </c>
      <c r="H1291" s="74">
        <v>0</v>
      </c>
      <c r="I1291" s="74"/>
      <c r="J1291" s="74">
        <v>1.0023563724205522</v>
      </c>
      <c r="K1291" s="74">
        <v>5.5327234899956688</v>
      </c>
      <c r="L1291" s="74">
        <v>0</v>
      </c>
      <c r="M1291" s="74">
        <v>4.2585838389174553</v>
      </c>
      <c r="N1291" s="74">
        <v>0</v>
      </c>
    </row>
    <row r="1292" spans="1:14" x14ac:dyDescent="0.25">
      <c r="A1292" t="e">
        <f>VLOOKUP(VALUE(RIGHT(B1292,4)),'Waste Lookups'!$B$1:$C$295,2,FALSE)</f>
        <v>#N/A</v>
      </c>
      <c r="B1292" s="74" t="s">
        <v>3287</v>
      </c>
      <c r="C1292" s="74" t="s">
        <v>3288</v>
      </c>
      <c r="D1292" s="74">
        <v>0</v>
      </c>
      <c r="E1292" s="74">
        <v>0</v>
      </c>
      <c r="F1292" s="74">
        <v>0</v>
      </c>
      <c r="G1292" s="74">
        <v>4.419E-2</v>
      </c>
      <c r="H1292" s="74">
        <v>0</v>
      </c>
      <c r="I1292" s="74"/>
      <c r="J1292" s="74">
        <v>0</v>
      </c>
      <c r="K1292" s="74">
        <v>0</v>
      </c>
      <c r="L1292" s="74">
        <v>0</v>
      </c>
      <c r="M1292" s="74">
        <v>2.0415450000000002</v>
      </c>
      <c r="N1292" s="74">
        <v>0</v>
      </c>
    </row>
    <row r="1293" spans="1:14" x14ac:dyDescent="0.25">
      <c r="A1293" t="e">
        <f>VLOOKUP(VALUE(RIGHT(B1293,4)),'Waste Lookups'!$B$1:$C$295,2,FALSE)</f>
        <v>#N/A</v>
      </c>
      <c r="B1293" s="74" t="s">
        <v>3289</v>
      </c>
      <c r="C1293" s="74" t="s">
        <v>3290</v>
      </c>
      <c r="D1293" s="74">
        <v>1.3924242424242426</v>
      </c>
      <c r="E1293" s="74">
        <v>7.5538800000000004</v>
      </c>
      <c r="F1293" s="74">
        <v>0</v>
      </c>
      <c r="G1293" s="74">
        <v>17.138159999999999</v>
      </c>
      <c r="H1293" s="74">
        <v>0</v>
      </c>
      <c r="I1293" s="74"/>
      <c r="J1293" s="74">
        <v>0.56275378414254729</v>
      </c>
      <c r="K1293" s="74">
        <v>3.0529305835394402</v>
      </c>
      <c r="L1293" s="74">
        <v>0</v>
      </c>
      <c r="M1293" s="74">
        <v>6.9264553857874747</v>
      </c>
      <c r="N1293" s="74">
        <v>0</v>
      </c>
    </row>
    <row r="1294" spans="1:14" x14ac:dyDescent="0.25">
      <c r="A1294" t="e">
        <f>VLOOKUP(VALUE(RIGHT(B1294,4)),'Waste Lookups'!$B$1:$C$295,2,FALSE)</f>
        <v>#N/A</v>
      </c>
      <c r="B1294" s="74" t="s">
        <v>3291</v>
      </c>
      <c r="C1294" s="74" t="s">
        <v>3292</v>
      </c>
      <c r="D1294" s="74">
        <v>1.7507272727272727</v>
      </c>
      <c r="E1294" s="74">
        <v>0</v>
      </c>
      <c r="F1294" s="74">
        <v>0</v>
      </c>
      <c r="G1294" s="74">
        <v>0</v>
      </c>
      <c r="H1294" s="74">
        <v>0</v>
      </c>
      <c r="I1294" s="74"/>
      <c r="J1294" s="74">
        <v>2.0081944444444444</v>
      </c>
      <c r="K1294" s="74">
        <v>0</v>
      </c>
      <c r="L1294" s="74">
        <v>0</v>
      </c>
      <c r="M1294" s="74">
        <v>0</v>
      </c>
      <c r="N1294" s="74">
        <v>0</v>
      </c>
    </row>
    <row r="1295" spans="1:14" x14ac:dyDescent="0.25">
      <c r="A1295" t="e">
        <f>VLOOKUP(VALUE(RIGHT(B1295,4)),'Waste Lookups'!$B$1:$C$295,2,FALSE)</f>
        <v>#N/A</v>
      </c>
      <c r="B1295" s="74" t="s">
        <v>3293</v>
      </c>
      <c r="C1295" s="74" t="s">
        <v>3294</v>
      </c>
      <c r="D1295" s="74">
        <v>5.5063636363636359</v>
      </c>
      <c r="E1295" s="74">
        <v>0.91248000000000007</v>
      </c>
      <c r="F1295" s="74">
        <v>0</v>
      </c>
      <c r="G1295" s="74">
        <v>4.9052699999999998</v>
      </c>
      <c r="H1295" s="74">
        <v>0</v>
      </c>
      <c r="I1295" s="74"/>
      <c r="J1295" s="74">
        <v>4.7769774004558103</v>
      </c>
      <c r="K1295" s="74">
        <v>0.791610693776574</v>
      </c>
      <c r="L1295" s="74">
        <v>0</v>
      </c>
      <c r="M1295" s="74">
        <v>4.2555060799813864</v>
      </c>
      <c r="N1295" s="74">
        <v>0</v>
      </c>
    </row>
    <row r="1296" spans="1:14" x14ac:dyDescent="0.25">
      <c r="A1296" t="e">
        <f>VLOOKUP(VALUE(RIGHT(B1296,4)),'Waste Lookups'!$B$1:$C$295,2,FALSE)</f>
        <v>#N/A</v>
      </c>
      <c r="B1296" s="74" t="s">
        <v>3295</v>
      </c>
      <c r="C1296" s="74" t="s">
        <v>3296</v>
      </c>
      <c r="D1296" s="74">
        <v>2.0546060606060603</v>
      </c>
      <c r="E1296" s="74">
        <v>13.91832</v>
      </c>
      <c r="F1296" s="74">
        <v>0</v>
      </c>
      <c r="G1296" s="74">
        <v>17.761950000000002</v>
      </c>
      <c r="H1296" s="74">
        <v>0</v>
      </c>
      <c r="I1296" s="74"/>
      <c r="J1296" s="74">
        <v>1.4923783386427087</v>
      </c>
      <c r="K1296" s="74">
        <v>10.109674879558424</v>
      </c>
      <c r="L1296" s="74">
        <v>0</v>
      </c>
      <c r="M1296" s="74">
        <v>12.90152401489352</v>
      </c>
      <c r="N1296" s="74">
        <v>0</v>
      </c>
    </row>
    <row r="1297" spans="1:14" x14ac:dyDescent="0.25">
      <c r="A1297" t="e">
        <f>VLOOKUP(VALUE(RIGHT(B1297,4)),'Waste Lookups'!$B$1:$C$295,2,FALSE)</f>
        <v>#N/A</v>
      </c>
      <c r="B1297" s="74" t="s">
        <v>3297</v>
      </c>
      <c r="C1297" s="74" t="s">
        <v>3298</v>
      </c>
      <c r="D1297" s="74">
        <v>0</v>
      </c>
      <c r="E1297" s="74">
        <v>0</v>
      </c>
      <c r="F1297" s="74">
        <v>0.10925454545454548</v>
      </c>
      <c r="G1297" s="74">
        <v>3.4103699999999999</v>
      </c>
      <c r="H1297" s="74">
        <v>0</v>
      </c>
      <c r="I1297" s="74"/>
      <c r="J1297" s="74">
        <v>0</v>
      </c>
      <c r="K1297" s="74">
        <v>0</v>
      </c>
      <c r="L1297" s="74">
        <v>1.6010130199079771</v>
      </c>
      <c r="M1297" s="74">
        <v>49.975465551455507</v>
      </c>
      <c r="N1297" s="74">
        <v>0</v>
      </c>
    </row>
    <row r="1298" spans="1:14" x14ac:dyDescent="0.25">
      <c r="A1298" t="e">
        <f>VLOOKUP(VALUE(RIGHT(B1298,4)),'Waste Lookups'!$B$1:$C$295,2,FALSE)</f>
        <v>#N/A</v>
      </c>
      <c r="B1298" s="74" t="s">
        <v>3299</v>
      </c>
      <c r="C1298" s="74" t="s">
        <v>3300</v>
      </c>
      <c r="D1298" s="74">
        <v>0</v>
      </c>
      <c r="E1298" s="74">
        <v>0</v>
      </c>
      <c r="F1298" s="74">
        <v>5.8727272727272725E-2</v>
      </c>
      <c r="G1298" s="74">
        <v>17.153730000000003</v>
      </c>
      <c r="H1298" s="74">
        <v>0</v>
      </c>
      <c r="I1298" s="74"/>
      <c r="J1298" s="74">
        <v>0</v>
      </c>
      <c r="K1298" s="74">
        <v>0</v>
      </c>
      <c r="L1298" s="74">
        <v>0.18886257676519094</v>
      </c>
      <c r="M1298" s="74">
        <v>55.165130245012314</v>
      </c>
      <c r="N1298" s="74">
        <v>0</v>
      </c>
    </row>
    <row r="1299" spans="1:14" x14ac:dyDescent="0.25">
      <c r="A1299" t="e">
        <f>VLOOKUP(VALUE(RIGHT(B1299,4)),'Waste Lookups'!$B$1:$C$295,2,FALSE)</f>
        <v>#N/A</v>
      </c>
      <c r="B1299" s="74" t="s">
        <v>3301</v>
      </c>
      <c r="C1299" s="74" t="s">
        <v>3302</v>
      </c>
      <c r="D1299" s="74">
        <v>0.11784848484848486</v>
      </c>
      <c r="E1299" s="74">
        <v>0</v>
      </c>
      <c r="F1299" s="74">
        <v>0</v>
      </c>
      <c r="G1299" s="74">
        <v>0</v>
      </c>
      <c r="H1299" s="74">
        <v>0</v>
      </c>
      <c r="I1299" s="74"/>
      <c r="J1299" s="74">
        <v>17.222222222222221</v>
      </c>
      <c r="K1299" s="74">
        <v>0</v>
      </c>
      <c r="L1299" s="74">
        <v>0</v>
      </c>
      <c r="M1299" s="74">
        <v>0</v>
      </c>
      <c r="N1299" s="74">
        <v>0</v>
      </c>
    </row>
    <row r="1300" spans="1:14" x14ac:dyDescent="0.25">
      <c r="A1300" t="str">
        <f>VLOOKUP(VALUE(RIGHT(B1300,4)),'Waste Lookups'!$B$1:$C$295,2,FALSE)</f>
        <v>Edgware Community Hospital</v>
      </c>
      <c r="B1300" s="74" t="s">
        <v>718</v>
      </c>
      <c r="C1300" s="74" t="s">
        <v>3303</v>
      </c>
      <c r="D1300" s="74">
        <v>109.65200000000002</v>
      </c>
      <c r="E1300" s="74">
        <v>572.45663999999999</v>
      </c>
      <c r="F1300" s="74">
        <v>0</v>
      </c>
      <c r="G1300" s="74">
        <v>0</v>
      </c>
      <c r="H1300" s="74">
        <v>0</v>
      </c>
      <c r="I1300" s="74"/>
      <c r="J1300" s="74">
        <v>71.440560927221441</v>
      </c>
      <c r="K1300" s="74">
        <v>372.96741936410149</v>
      </c>
      <c r="L1300" s="74">
        <v>0</v>
      </c>
      <c r="M1300" s="74">
        <v>0</v>
      </c>
      <c r="N1300" s="74">
        <v>0</v>
      </c>
    </row>
    <row r="1301" spans="1:14" x14ac:dyDescent="0.25">
      <c r="A1301" t="e">
        <f>VLOOKUP(VALUE(RIGHT(B1301,4)),'Waste Lookups'!$B$1:$C$295,2,FALSE)</f>
        <v>#N/A</v>
      </c>
      <c r="B1301" s="74" t="s">
        <v>3304</v>
      </c>
      <c r="C1301" s="74" t="s">
        <v>3305</v>
      </c>
      <c r="D1301" s="74">
        <v>4.963757575757576</v>
      </c>
      <c r="E1301" s="74">
        <v>4.2980400000000003</v>
      </c>
      <c r="F1301" s="74">
        <v>0</v>
      </c>
      <c r="G1301" s="74">
        <v>0.81548999999999994</v>
      </c>
      <c r="H1301" s="74">
        <v>0</v>
      </c>
      <c r="I1301" s="74"/>
      <c r="J1301" s="74">
        <v>10.607664380358747</v>
      </c>
      <c r="K1301" s="74">
        <v>9.1850105726403779</v>
      </c>
      <c r="L1301" s="74">
        <v>0</v>
      </c>
      <c r="M1301" s="74">
        <v>1.742720931373952</v>
      </c>
      <c r="N1301" s="74">
        <v>0</v>
      </c>
    </row>
    <row r="1302" spans="1:14" x14ac:dyDescent="0.25">
      <c r="A1302" t="e">
        <f>VLOOKUP(VALUE(RIGHT(B1302,4)),'Waste Lookups'!$B$1:$C$295,2,FALSE)</f>
        <v>#N/A</v>
      </c>
      <c r="B1302" s="74" t="s">
        <v>3306</v>
      </c>
      <c r="C1302" s="74" t="s">
        <v>3307</v>
      </c>
      <c r="D1302" s="74">
        <v>0</v>
      </c>
      <c r="E1302" s="74">
        <v>6.7600200000000008</v>
      </c>
      <c r="F1302" s="74">
        <v>0.35594545454545456</v>
      </c>
      <c r="G1302" s="74">
        <v>1.9218599999999999</v>
      </c>
      <c r="H1302" s="74">
        <v>0</v>
      </c>
      <c r="I1302" s="74"/>
      <c r="J1302" s="74">
        <v>0</v>
      </c>
      <c r="K1302" s="74">
        <v>8.0687053216838773</v>
      </c>
      <c r="L1302" s="74">
        <v>0.42485362222598383</v>
      </c>
      <c r="M1302" s="74">
        <v>2.2939165874555654</v>
      </c>
      <c r="N1302" s="74">
        <v>0</v>
      </c>
    </row>
    <row r="1303" spans="1:14" x14ac:dyDescent="0.25">
      <c r="A1303" t="e">
        <f>VLOOKUP(VALUE(RIGHT(B1303,4)),'Waste Lookups'!$B$1:$C$295,2,FALSE)</f>
        <v>#N/A</v>
      </c>
      <c r="B1303" s="74" t="s">
        <v>3308</v>
      </c>
      <c r="C1303" s="74" t="s">
        <v>3309</v>
      </c>
      <c r="D1303" s="74">
        <v>0</v>
      </c>
      <c r="E1303" s="74">
        <v>14.68998</v>
      </c>
      <c r="F1303" s="74">
        <v>0.35334545454545457</v>
      </c>
      <c r="G1303" s="74">
        <v>4.2173099999999994</v>
      </c>
      <c r="H1303" s="74">
        <v>0</v>
      </c>
      <c r="I1303" s="74"/>
      <c r="J1303" s="74">
        <v>0</v>
      </c>
      <c r="K1303" s="74">
        <v>29.431015729961494</v>
      </c>
      <c r="L1303" s="74">
        <v>0.70791897816318794</v>
      </c>
      <c r="M1303" s="74">
        <v>8.4492774631499756</v>
      </c>
      <c r="N1303" s="74">
        <v>0</v>
      </c>
    </row>
    <row r="1304" spans="1:14" x14ac:dyDescent="0.25">
      <c r="A1304" t="e">
        <f>VLOOKUP(VALUE(RIGHT(B1304,4)),'Waste Lookups'!$B$1:$C$295,2,FALSE)</f>
        <v>#N/A</v>
      </c>
      <c r="B1304" s="74" t="s">
        <v>3310</v>
      </c>
      <c r="C1304" s="74" t="s">
        <v>3311</v>
      </c>
      <c r="D1304" s="74">
        <v>0</v>
      </c>
      <c r="E1304" s="74">
        <v>20.538059999999998</v>
      </c>
      <c r="F1304" s="74">
        <v>0.38634545454545455</v>
      </c>
      <c r="G1304" s="74">
        <v>7.8147000000000002</v>
      </c>
      <c r="H1304" s="74">
        <v>0</v>
      </c>
      <c r="I1304" s="74"/>
      <c r="J1304" s="74">
        <v>0</v>
      </c>
      <c r="K1304" s="74">
        <v>36.785311070651446</v>
      </c>
      <c r="L1304" s="74">
        <v>0.69197566499400509</v>
      </c>
      <c r="M1304" s="74">
        <v>13.996753852302501</v>
      </c>
      <c r="N1304" s="74">
        <v>0</v>
      </c>
    </row>
    <row r="1305" spans="1:14" x14ac:dyDescent="0.25">
      <c r="A1305" t="e">
        <f>VLOOKUP(VALUE(RIGHT(B1305,4)),'Waste Lookups'!$B$1:$C$295,2,FALSE)</f>
        <v>#N/A</v>
      </c>
      <c r="B1305" s="74" t="s">
        <v>3312</v>
      </c>
      <c r="C1305" s="74" t="s">
        <v>3313</v>
      </c>
      <c r="D1305" s="74">
        <v>2.8093636363636363</v>
      </c>
      <c r="E1305" s="74">
        <v>4.6476600000000001</v>
      </c>
      <c r="F1305" s="74">
        <v>0.25494545454545459</v>
      </c>
      <c r="G1305" s="74">
        <v>6.6804299999999994</v>
      </c>
      <c r="H1305" s="74">
        <v>0</v>
      </c>
      <c r="I1305" s="74"/>
      <c r="J1305" s="74">
        <v>5.6390141195113372</v>
      </c>
      <c r="K1305" s="74">
        <v>9.3288814674811071</v>
      </c>
      <c r="L1305" s="74">
        <v>0.51173190941842517</v>
      </c>
      <c r="M1305" s="74">
        <v>13.409100412208469</v>
      </c>
      <c r="N1305" s="74">
        <v>0</v>
      </c>
    </row>
    <row r="1306" spans="1:14" x14ac:dyDescent="0.25">
      <c r="A1306" t="e">
        <f>VLOOKUP(VALUE(RIGHT(B1306,4)),'Waste Lookups'!$B$1:$C$295,2,FALSE)</f>
        <v>#N/A</v>
      </c>
      <c r="B1306" s="74" t="s">
        <v>3314</v>
      </c>
      <c r="C1306" s="74" t="s">
        <v>3315</v>
      </c>
      <c r="D1306" s="74">
        <v>0.53733333333333333</v>
      </c>
      <c r="E1306" s="74">
        <v>7.1344199999999995</v>
      </c>
      <c r="F1306" s="74">
        <v>3.9272727272727279E-2</v>
      </c>
      <c r="G1306" s="74">
        <v>5.6223899999999993</v>
      </c>
      <c r="H1306" s="74">
        <v>0</v>
      </c>
      <c r="I1306" s="74"/>
      <c r="J1306" s="74">
        <v>0.72709148628431697</v>
      </c>
      <c r="K1306" s="74">
        <v>9.6539256356883794</v>
      </c>
      <c r="L1306" s="74">
        <v>5.314180950961396E-2</v>
      </c>
      <c r="M1306" s="74">
        <v>7.6079253751304234</v>
      </c>
      <c r="N1306" s="74">
        <v>0</v>
      </c>
    </row>
    <row r="1307" spans="1:14" x14ac:dyDescent="0.25">
      <c r="A1307" t="e">
        <f>VLOOKUP(VALUE(RIGHT(B1307,4)),'Waste Lookups'!$B$1:$C$295,2,FALSE)</f>
        <v>#N/A</v>
      </c>
      <c r="B1307" s="74" t="s">
        <v>3316</v>
      </c>
      <c r="C1307" s="74" t="s">
        <v>3317</v>
      </c>
      <c r="D1307" s="74">
        <v>2.0460606060606064</v>
      </c>
      <c r="E1307" s="74">
        <v>3.2957999999999994</v>
      </c>
      <c r="F1307" s="74">
        <v>0.16234545454545454</v>
      </c>
      <c r="G1307" s="74">
        <v>3.0476700000000001</v>
      </c>
      <c r="H1307" s="74">
        <v>0</v>
      </c>
      <c r="I1307" s="74"/>
      <c r="J1307" s="74">
        <v>5.1079667396908777</v>
      </c>
      <c r="K1307" s="74">
        <v>8.2279267441086397</v>
      </c>
      <c r="L1307" s="74">
        <v>0.40529355763062663</v>
      </c>
      <c r="M1307" s="74">
        <v>7.6084730566835317</v>
      </c>
      <c r="N1307" s="74">
        <v>0</v>
      </c>
    </row>
    <row r="1308" spans="1:14" x14ac:dyDescent="0.25">
      <c r="A1308" t="e">
        <f>VLOOKUP(VALUE(RIGHT(B1308,4)),'Waste Lookups'!$B$1:$C$295,2,FALSE)</f>
        <v>#N/A</v>
      </c>
      <c r="B1308" s="74" t="s">
        <v>3318</v>
      </c>
      <c r="C1308" s="74" t="s">
        <v>3319</v>
      </c>
      <c r="D1308" s="74">
        <v>0</v>
      </c>
      <c r="E1308" s="74">
        <v>0</v>
      </c>
      <c r="F1308" s="74">
        <v>3.272727272727273E-2</v>
      </c>
      <c r="G1308" s="74">
        <v>0</v>
      </c>
      <c r="H1308" s="74">
        <v>0</v>
      </c>
      <c r="I1308" s="74"/>
      <c r="J1308" s="74">
        <v>0</v>
      </c>
      <c r="K1308" s="74">
        <v>0</v>
      </c>
      <c r="L1308" s="74">
        <v>0.77568333333333328</v>
      </c>
      <c r="M1308" s="74">
        <v>0</v>
      </c>
      <c r="N1308" s="74">
        <v>0</v>
      </c>
    </row>
    <row r="1309" spans="1:14" x14ac:dyDescent="0.25">
      <c r="A1309" t="str">
        <f>VLOOKUP(VALUE(RIGHT(B1309,4)),'Waste Lookups'!$B$1:$C$295,2,FALSE)</f>
        <v>Wembley Centre for Health &amp; Care</v>
      </c>
      <c r="B1309" s="74" t="s">
        <v>805</v>
      </c>
      <c r="C1309" s="74" t="s">
        <v>3320</v>
      </c>
      <c r="D1309" s="74">
        <v>14.475242424242424</v>
      </c>
      <c r="E1309" s="74">
        <v>74.491079999999997</v>
      </c>
      <c r="F1309" s="74">
        <v>0.41209090909090912</v>
      </c>
      <c r="G1309" s="74">
        <v>27.568350000000002</v>
      </c>
      <c r="H1309" s="74">
        <v>0</v>
      </c>
      <c r="I1309" s="74"/>
      <c r="J1309" s="74">
        <v>20.225782292718915</v>
      </c>
      <c r="K1309" s="74">
        <v>104.083947105871</v>
      </c>
      <c r="L1309" s="74">
        <v>0.57580113464093241</v>
      </c>
      <c r="M1309" s="74">
        <v>38.52035281534566</v>
      </c>
      <c r="N1309" s="74">
        <v>0</v>
      </c>
    </row>
    <row r="1310" spans="1:14" x14ac:dyDescent="0.25">
      <c r="A1310" t="e">
        <f>VLOOKUP(VALUE(RIGHT(B1310,4)),'Waste Lookups'!$B$1:$C$295,2,FALSE)</f>
        <v>#N/A</v>
      </c>
      <c r="B1310" s="74" t="s">
        <v>3321</v>
      </c>
      <c r="C1310" s="74" t="s">
        <v>3322</v>
      </c>
      <c r="D1310" s="74">
        <v>8.1028787878787885</v>
      </c>
      <c r="E1310" s="74">
        <v>0</v>
      </c>
      <c r="F1310" s="74">
        <v>0.47892727272727281</v>
      </c>
      <c r="G1310" s="74">
        <v>53.84187</v>
      </c>
      <c r="H1310" s="74">
        <v>31.807116545060147</v>
      </c>
      <c r="I1310" s="74"/>
      <c r="J1310" s="74">
        <v>7.7469731619212343</v>
      </c>
      <c r="K1310" s="74">
        <v>0</v>
      </c>
      <c r="L1310" s="74">
        <v>0.4578911798459222</v>
      </c>
      <c r="M1310" s="74">
        <v>51.476954400652673</v>
      </c>
      <c r="N1310" s="74">
        <v>30.410041256113615</v>
      </c>
    </row>
    <row r="1311" spans="1:14" x14ac:dyDescent="0.25">
      <c r="A1311" t="e">
        <f>VLOOKUP(VALUE(RIGHT(B1311,4)),'Waste Lookups'!$B$1:$C$295,2,FALSE)</f>
        <v>#N/A</v>
      </c>
      <c r="B1311" s="74" t="s">
        <v>3323</v>
      </c>
      <c r="C1311" s="74" t="s">
        <v>3324</v>
      </c>
      <c r="D1311" s="74">
        <v>0.7731212121212121</v>
      </c>
      <c r="E1311" s="74">
        <v>6.0000000000000002E-5</v>
      </c>
      <c r="F1311" s="74">
        <v>0</v>
      </c>
      <c r="G1311" s="74">
        <v>0</v>
      </c>
      <c r="H1311" s="74">
        <v>0</v>
      </c>
      <c r="I1311" s="74"/>
      <c r="J1311" s="74">
        <v>1.3075043070035626</v>
      </c>
      <c r="K1311" s="74">
        <v>1.0147213294661758E-4</v>
      </c>
      <c r="L1311" s="74">
        <v>0</v>
      </c>
      <c r="M1311" s="74">
        <v>0</v>
      </c>
      <c r="N1311" s="74">
        <v>0</v>
      </c>
    </row>
    <row r="1312" spans="1:14" x14ac:dyDescent="0.25">
      <c r="A1312" t="e">
        <f>VLOOKUP(VALUE(RIGHT(B1312,4)),'Waste Lookups'!$B$1:$C$295,2,FALSE)</f>
        <v>#N/A</v>
      </c>
      <c r="B1312" s="74" t="s">
        <v>3325</v>
      </c>
      <c r="C1312" s="74" t="s">
        <v>3326</v>
      </c>
      <c r="D1312" s="74">
        <v>0</v>
      </c>
      <c r="E1312" s="74">
        <v>0.21659999999999999</v>
      </c>
      <c r="F1312" s="74">
        <v>0</v>
      </c>
      <c r="G1312" s="74">
        <v>0</v>
      </c>
      <c r="H1312" s="74">
        <v>0</v>
      </c>
      <c r="I1312" s="74"/>
      <c r="J1312" s="74">
        <v>0</v>
      </c>
      <c r="K1312" s="74">
        <v>0</v>
      </c>
      <c r="L1312" s="74">
        <v>0</v>
      </c>
      <c r="M1312" s="74">
        <v>0</v>
      </c>
      <c r="N1312" s="74">
        <v>0</v>
      </c>
    </row>
    <row r="1313" spans="1:14" x14ac:dyDescent="0.25">
      <c r="A1313" t="e">
        <f>VLOOKUP(VALUE(RIGHT(B1313,4)),'Waste Lookups'!$B$1:$C$295,2,FALSE)</f>
        <v>#N/A</v>
      </c>
      <c r="B1313" s="74" t="s">
        <v>3327</v>
      </c>
      <c r="C1313" s="74" t="s">
        <v>3328</v>
      </c>
      <c r="D1313" s="74">
        <v>0.50709090909090915</v>
      </c>
      <c r="E1313" s="74">
        <v>0.38556000000000001</v>
      </c>
      <c r="F1313" s="74">
        <v>0</v>
      </c>
      <c r="G1313" s="74">
        <v>0</v>
      </c>
      <c r="H1313" s="74">
        <v>0</v>
      </c>
      <c r="I1313" s="74"/>
      <c r="J1313" s="74">
        <v>0.55960634715025903</v>
      </c>
      <c r="K1313" s="74">
        <v>0.42548943264248701</v>
      </c>
      <c r="L1313" s="74">
        <v>0</v>
      </c>
      <c r="M1313" s="74">
        <v>0</v>
      </c>
      <c r="N1313" s="74">
        <v>0</v>
      </c>
    </row>
    <row r="1314" spans="1:14" x14ac:dyDescent="0.25">
      <c r="A1314" t="e">
        <f>VLOOKUP(VALUE(RIGHT(B1314,4)),'Waste Lookups'!$B$1:$C$295,2,FALSE)</f>
        <v>#N/A</v>
      </c>
      <c r="B1314" s="74" t="s">
        <v>3329</v>
      </c>
      <c r="C1314" s="74" t="s">
        <v>3330</v>
      </c>
      <c r="D1314" s="74">
        <v>2.4967272727272727</v>
      </c>
      <c r="E1314" s="74">
        <v>29.099220000000003</v>
      </c>
      <c r="F1314" s="74">
        <v>0</v>
      </c>
      <c r="G1314" s="74">
        <v>0</v>
      </c>
      <c r="H1314" s="74">
        <v>0</v>
      </c>
      <c r="I1314" s="74"/>
      <c r="J1314" s="74">
        <v>3.3837861981732376</v>
      </c>
      <c r="K1314" s="74">
        <v>39.437843327616989</v>
      </c>
      <c r="L1314" s="74">
        <v>0</v>
      </c>
      <c r="M1314" s="74">
        <v>0</v>
      </c>
      <c r="N1314" s="74">
        <v>0</v>
      </c>
    </row>
    <row r="1315" spans="1:14" x14ac:dyDescent="0.25">
      <c r="A1315" t="str">
        <f>VLOOKUP(VALUE(RIGHT(B1315,4)),'Waste Lookups'!$B$1:$C$295,2,FALSE)</f>
        <v>Stephenson House (Drummond Street)</v>
      </c>
      <c r="B1315" s="74" t="s">
        <v>801</v>
      </c>
      <c r="C1315" s="74" t="s">
        <v>3331</v>
      </c>
      <c r="D1315" s="74">
        <v>7.2317272727272721</v>
      </c>
      <c r="E1315" s="74">
        <v>0</v>
      </c>
      <c r="F1315" s="74">
        <v>0</v>
      </c>
      <c r="G1315" s="74">
        <v>0</v>
      </c>
      <c r="H1315" s="74">
        <v>0</v>
      </c>
      <c r="I1315" s="74"/>
      <c r="J1315" s="74">
        <v>6.8423888888888893</v>
      </c>
      <c r="K1315" s="74">
        <v>0</v>
      </c>
      <c r="L1315" s="74">
        <v>0</v>
      </c>
      <c r="M1315" s="74">
        <v>0</v>
      </c>
      <c r="N1315" s="74">
        <v>0</v>
      </c>
    </row>
    <row r="1316" spans="1:14" x14ac:dyDescent="0.25">
      <c r="A1316" t="str">
        <f>VLOOKUP(VALUE(RIGHT(B1316,4)),'Waste Lookups'!$B$1:$C$295,2,FALSE)</f>
        <v>Stephenson House</v>
      </c>
      <c r="B1316" s="74" t="s">
        <v>719</v>
      </c>
      <c r="C1316" s="74" t="s">
        <v>3332</v>
      </c>
      <c r="D1316" s="74">
        <v>0.65996969696969687</v>
      </c>
      <c r="E1316" s="74">
        <v>1.3572600000000001</v>
      </c>
      <c r="F1316" s="74">
        <v>0</v>
      </c>
      <c r="G1316" s="74">
        <v>0</v>
      </c>
      <c r="H1316" s="74">
        <v>0</v>
      </c>
      <c r="I1316" s="74"/>
      <c r="J1316" s="74">
        <v>10.883041512762764</v>
      </c>
      <c r="K1316" s="74">
        <v>22.381507804729733</v>
      </c>
      <c r="L1316" s="74">
        <v>0</v>
      </c>
      <c r="M1316" s="74">
        <v>0</v>
      </c>
      <c r="N1316" s="74">
        <v>0</v>
      </c>
    </row>
    <row r="1317" spans="1:14" x14ac:dyDescent="0.25">
      <c r="A1317" t="e">
        <f>VLOOKUP(VALUE(RIGHT(B1317,4)),'Waste Lookups'!$B$1:$C$295,2,FALSE)</f>
        <v>#N/A</v>
      </c>
      <c r="B1317" s="74" t="s">
        <v>3333</v>
      </c>
      <c r="C1317" s="74" t="s">
        <v>3334</v>
      </c>
      <c r="D1317" s="74">
        <v>0.37387878787878787</v>
      </c>
      <c r="E1317" s="74">
        <v>0.52415999999999996</v>
      </c>
      <c r="F1317" s="74">
        <v>0</v>
      </c>
      <c r="G1317" s="74">
        <v>0</v>
      </c>
      <c r="H1317" s="74">
        <v>0</v>
      </c>
      <c r="I1317" s="74"/>
      <c r="J1317" s="74">
        <v>5.287035894678014E-2</v>
      </c>
      <c r="K1317" s="74">
        <v>7.4121689285375339E-2</v>
      </c>
      <c r="L1317" s="74">
        <v>0</v>
      </c>
      <c r="M1317" s="74">
        <v>0</v>
      </c>
      <c r="N1317" s="74">
        <v>0</v>
      </c>
    </row>
    <row r="1318" spans="1:14" x14ac:dyDescent="0.25">
      <c r="A1318" t="e">
        <f>VLOOKUP(VALUE(RIGHT(B1318,4)),'Waste Lookups'!$B$1:$C$295,2,FALSE)</f>
        <v>#N/A</v>
      </c>
      <c r="B1318" s="74" t="s">
        <v>3335</v>
      </c>
      <c r="C1318" s="74" t="s">
        <v>3336</v>
      </c>
      <c r="D1318" s="74">
        <v>1.2263939393939396</v>
      </c>
      <c r="E1318" s="74">
        <v>9.8607600000000009</v>
      </c>
      <c r="F1318" s="74">
        <v>3.272727272727273E-2</v>
      </c>
      <c r="G1318" s="74">
        <v>0</v>
      </c>
      <c r="H1318" s="74">
        <v>0</v>
      </c>
      <c r="I1318" s="74"/>
      <c r="J1318" s="74">
        <v>0.65558104420793606</v>
      </c>
      <c r="K1318" s="74">
        <v>5.2711670612776294</v>
      </c>
      <c r="L1318" s="74">
        <v>1.7494688239593069E-2</v>
      </c>
      <c r="M1318" s="74">
        <v>0</v>
      </c>
      <c r="N1318" s="74">
        <v>0</v>
      </c>
    </row>
    <row r="1319" spans="1:14" x14ac:dyDescent="0.25">
      <c r="A1319" t="e">
        <f>VLOOKUP(VALUE(RIGHT(B1319,4)),'Waste Lookups'!$B$1:$C$295,2,FALSE)</f>
        <v>#N/A</v>
      </c>
      <c r="B1319" s="74" t="s">
        <v>3337</v>
      </c>
      <c r="C1319" s="74" t="s">
        <v>3338</v>
      </c>
      <c r="D1319" s="74">
        <v>0</v>
      </c>
      <c r="E1319" s="74">
        <v>2.5519799999999999</v>
      </c>
      <c r="F1319" s="74">
        <v>0</v>
      </c>
      <c r="G1319" s="74">
        <v>0</v>
      </c>
      <c r="H1319" s="74">
        <v>0</v>
      </c>
      <c r="I1319" s="74"/>
      <c r="J1319" s="74">
        <v>0</v>
      </c>
      <c r="K1319" s="74">
        <v>0</v>
      </c>
      <c r="L1319" s="74">
        <v>0</v>
      </c>
      <c r="M1319" s="74">
        <v>0</v>
      </c>
      <c r="N1319" s="74">
        <v>0</v>
      </c>
    </row>
    <row r="1320" spans="1:14" x14ac:dyDescent="0.25">
      <c r="A1320" t="e">
        <f>VLOOKUP(VALUE(RIGHT(B1320,4)),'Waste Lookups'!$B$1:$C$295,2,FALSE)</f>
        <v>#N/A</v>
      </c>
      <c r="B1320" s="74" t="s">
        <v>3339</v>
      </c>
      <c r="C1320" s="74" t="s">
        <v>3340</v>
      </c>
      <c r="D1320" s="74">
        <v>2.2627878787878792</v>
      </c>
      <c r="E1320" s="74">
        <v>23.604659999999999</v>
      </c>
      <c r="F1320" s="74">
        <v>3.272727272727273E-2</v>
      </c>
      <c r="G1320" s="74">
        <v>0</v>
      </c>
      <c r="H1320" s="74">
        <v>0</v>
      </c>
      <c r="I1320" s="74"/>
      <c r="J1320" s="74">
        <v>2.4401354994517552</v>
      </c>
      <c r="K1320" s="74">
        <v>25.454692133733289</v>
      </c>
      <c r="L1320" s="74">
        <v>3.5292296167343779E-2</v>
      </c>
      <c r="M1320" s="74">
        <v>0</v>
      </c>
      <c r="N1320" s="74">
        <v>0</v>
      </c>
    </row>
    <row r="1321" spans="1:14" x14ac:dyDescent="0.25">
      <c r="A1321" t="str">
        <f>VLOOKUP(VALUE(RIGHT(B1321,4)),'Waste Lookups'!$B$1:$C$295,2,FALSE)</f>
        <v>Clifton House</v>
      </c>
      <c r="B1321" s="74" t="s">
        <v>720</v>
      </c>
      <c r="C1321" s="74" t="s">
        <v>3341</v>
      </c>
      <c r="D1321" s="74">
        <v>1.0490000000000002</v>
      </c>
      <c r="E1321" s="74">
        <v>59.255459999999992</v>
      </c>
      <c r="F1321" s="74">
        <v>3.272727272727273E-2</v>
      </c>
      <c r="G1321" s="74">
        <v>0</v>
      </c>
      <c r="H1321" s="74">
        <v>0</v>
      </c>
      <c r="I1321" s="74"/>
      <c r="J1321" s="74">
        <v>0.66742752367820057</v>
      </c>
      <c r="K1321" s="74">
        <v>37.701358371985378</v>
      </c>
      <c r="L1321" s="74">
        <v>2.0822767009632741E-2</v>
      </c>
      <c r="M1321" s="74">
        <v>0</v>
      </c>
      <c r="N1321" s="74">
        <v>0</v>
      </c>
    </row>
    <row r="1322" spans="1:14" x14ac:dyDescent="0.25">
      <c r="A1322" t="e">
        <f>VLOOKUP(VALUE(RIGHT(B1322,4)),'Waste Lookups'!$B$1:$C$295,2,FALSE)</f>
        <v>#N/A</v>
      </c>
      <c r="B1322" s="74" t="s">
        <v>3342</v>
      </c>
      <c r="C1322" s="74" t="s">
        <v>3343</v>
      </c>
      <c r="D1322" s="74">
        <v>0</v>
      </c>
      <c r="E1322" s="74">
        <v>10.59498</v>
      </c>
      <c r="F1322" s="74">
        <v>3.272727272727273E-2</v>
      </c>
      <c r="G1322" s="74">
        <v>0</v>
      </c>
      <c r="H1322" s="74">
        <v>0</v>
      </c>
      <c r="I1322" s="74"/>
      <c r="J1322" s="74">
        <v>0</v>
      </c>
      <c r="K1322" s="74">
        <v>6.2215951281512245</v>
      </c>
      <c r="L1322" s="74">
        <v>1.9218142984477223E-2</v>
      </c>
      <c r="M1322" s="74">
        <v>0</v>
      </c>
      <c r="N1322" s="74">
        <v>0</v>
      </c>
    </row>
    <row r="1323" spans="1:14" x14ac:dyDescent="0.25">
      <c r="A1323" t="e">
        <f>VLOOKUP(VALUE(RIGHT(B1323,4)),'Waste Lookups'!$B$1:$C$295,2,FALSE)</f>
        <v>#N/A</v>
      </c>
      <c r="B1323" s="74" t="s">
        <v>3344</v>
      </c>
      <c r="C1323" s="74" t="s">
        <v>3345</v>
      </c>
      <c r="D1323" s="74">
        <v>0</v>
      </c>
      <c r="E1323" s="74">
        <v>0.67499999999999993</v>
      </c>
      <c r="F1323" s="74">
        <v>0</v>
      </c>
      <c r="G1323" s="74">
        <v>0</v>
      </c>
      <c r="H1323" s="74">
        <v>0</v>
      </c>
      <c r="I1323" s="74"/>
      <c r="J1323" s="74">
        <v>0</v>
      </c>
      <c r="K1323" s="74">
        <v>6.8998049999999997</v>
      </c>
      <c r="L1323" s="74">
        <v>0</v>
      </c>
      <c r="M1323" s="74">
        <v>0</v>
      </c>
      <c r="N1323" s="74">
        <v>0</v>
      </c>
    </row>
    <row r="1324" spans="1:14" x14ac:dyDescent="0.25">
      <c r="A1324" t="e">
        <f>VLOOKUP(VALUE(RIGHT(B1324,4)),'Waste Lookups'!$B$1:$C$295,2,FALSE)</f>
        <v>#N/A</v>
      </c>
      <c r="B1324" s="74" t="s">
        <v>3346</v>
      </c>
      <c r="C1324" s="74" t="s">
        <v>3347</v>
      </c>
      <c r="D1324" s="74">
        <v>0</v>
      </c>
      <c r="E1324" s="74">
        <v>0</v>
      </c>
      <c r="F1324" s="74">
        <v>3.272727272727273E-2</v>
      </c>
      <c r="G1324" s="74">
        <v>0</v>
      </c>
      <c r="H1324" s="74">
        <v>0</v>
      </c>
      <c r="I1324" s="74"/>
      <c r="J1324" s="74">
        <v>0</v>
      </c>
      <c r="K1324" s="74">
        <v>0</v>
      </c>
      <c r="L1324" s="74">
        <v>0</v>
      </c>
      <c r="M1324" s="74">
        <v>0</v>
      </c>
      <c r="N1324" s="74">
        <v>0</v>
      </c>
    </row>
    <row r="1325" spans="1:14" x14ac:dyDescent="0.25">
      <c r="A1325" t="e">
        <f>VLOOKUP(VALUE(RIGHT(B1325,4)),'Waste Lookups'!$B$1:$C$295,2,FALSE)</f>
        <v>#N/A</v>
      </c>
      <c r="B1325" s="74" t="s">
        <v>3348</v>
      </c>
      <c r="C1325" s="74" t="s">
        <v>3349</v>
      </c>
      <c r="D1325" s="74">
        <v>1.313030303030303</v>
      </c>
      <c r="E1325" s="74">
        <v>47.258220000000001</v>
      </c>
      <c r="F1325" s="74">
        <v>9.818181818181819E-2</v>
      </c>
      <c r="G1325" s="74">
        <v>0</v>
      </c>
      <c r="H1325" s="74">
        <v>0</v>
      </c>
      <c r="I1325" s="74"/>
      <c r="J1325" s="74">
        <v>0.42277860775632392</v>
      </c>
      <c r="K1325" s="74">
        <v>15.21652958848807</v>
      </c>
      <c r="L1325" s="74">
        <v>3.1613263077094153E-2</v>
      </c>
      <c r="M1325" s="74">
        <v>0</v>
      </c>
      <c r="N1325" s="74">
        <v>0</v>
      </c>
    </row>
    <row r="1326" spans="1:14" x14ac:dyDescent="0.25">
      <c r="A1326" t="e">
        <f>VLOOKUP(VALUE(RIGHT(B1326,4)),'Waste Lookups'!$B$1:$C$295,2,FALSE)</f>
        <v>#N/A</v>
      </c>
      <c r="B1326" s="74" t="s">
        <v>3350</v>
      </c>
      <c r="C1326" s="74" t="s">
        <v>3351</v>
      </c>
      <c r="D1326" s="74">
        <v>0</v>
      </c>
      <c r="E1326" s="74">
        <v>0</v>
      </c>
      <c r="F1326" s="74">
        <v>3.272727272727273E-2</v>
      </c>
      <c r="G1326" s="74">
        <v>0</v>
      </c>
      <c r="H1326" s="74">
        <v>0</v>
      </c>
      <c r="I1326" s="74"/>
      <c r="J1326" s="74">
        <v>0</v>
      </c>
      <c r="K1326" s="74">
        <v>0</v>
      </c>
      <c r="L1326" s="74">
        <v>0</v>
      </c>
      <c r="M1326" s="74">
        <v>0</v>
      </c>
      <c r="N1326" s="74">
        <v>0</v>
      </c>
    </row>
    <row r="1327" spans="1:14" x14ac:dyDescent="0.25">
      <c r="A1327" t="e">
        <f>VLOOKUP(VALUE(RIGHT(B1327,4)),'Waste Lookups'!$B$1:$C$295,2,FALSE)</f>
        <v>#N/A</v>
      </c>
      <c r="B1327" s="74" t="s">
        <v>3352</v>
      </c>
      <c r="C1327" s="74" t="s">
        <v>3353</v>
      </c>
      <c r="D1327" s="74">
        <v>1.9801515151515152</v>
      </c>
      <c r="E1327" s="74">
        <v>22.367819999999995</v>
      </c>
      <c r="F1327" s="74">
        <v>6.545454545454546E-2</v>
      </c>
      <c r="G1327" s="74">
        <v>0</v>
      </c>
      <c r="H1327" s="74">
        <v>0</v>
      </c>
      <c r="I1327" s="74"/>
      <c r="J1327" s="74">
        <v>1.2660961715209333</v>
      </c>
      <c r="K1327" s="74">
        <v>14.301840566529785</v>
      </c>
      <c r="L1327" s="74">
        <v>4.1851216320838873E-2</v>
      </c>
      <c r="M1327" s="74">
        <v>0</v>
      </c>
      <c r="N1327" s="74">
        <v>0</v>
      </c>
    </row>
    <row r="1328" spans="1:14" x14ac:dyDescent="0.25">
      <c r="A1328" t="e">
        <f>VLOOKUP(VALUE(RIGHT(B1328,4)),'Waste Lookups'!$B$1:$C$295,2,FALSE)</f>
        <v>#N/A</v>
      </c>
      <c r="B1328" s="74" t="s">
        <v>3354</v>
      </c>
      <c r="C1328" s="74" t="s">
        <v>3355</v>
      </c>
      <c r="D1328" s="74">
        <v>0.2013939393939394</v>
      </c>
      <c r="E1328" s="74">
        <v>6.3024000000000004</v>
      </c>
      <c r="F1328" s="74">
        <v>0.18767272727272727</v>
      </c>
      <c r="G1328" s="74">
        <v>0</v>
      </c>
      <c r="H1328" s="74">
        <v>0</v>
      </c>
      <c r="I1328" s="74"/>
      <c r="J1328" s="74">
        <v>0.23742609728688102</v>
      </c>
      <c r="K1328" s="74">
        <v>7.4299864238410613</v>
      </c>
      <c r="L1328" s="74">
        <v>0.22124997076694425</v>
      </c>
      <c r="M1328" s="74">
        <v>0</v>
      </c>
      <c r="N1328" s="74">
        <v>0</v>
      </c>
    </row>
    <row r="1329" spans="1:14" x14ac:dyDescent="0.25">
      <c r="A1329" t="e">
        <f>VLOOKUP(VALUE(RIGHT(B1329,4)),'Waste Lookups'!$B$1:$C$295,2,FALSE)</f>
        <v>#N/A</v>
      </c>
      <c r="B1329" s="74" t="s">
        <v>3356</v>
      </c>
      <c r="C1329" s="74" t="s">
        <v>3357</v>
      </c>
      <c r="D1329" s="74">
        <v>0.94187878787878787</v>
      </c>
      <c r="E1329" s="74">
        <v>17.406599999999997</v>
      </c>
      <c r="F1329" s="74">
        <v>3.272727272727273E-2</v>
      </c>
      <c r="G1329" s="74">
        <v>0</v>
      </c>
      <c r="H1329" s="74">
        <v>0.26503648195622165</v>
      </c>
      <c r="I1329" s="74"/>
      <c r="J1329" s="74">
        <v>0.56588513618027858</v>
      </c>
      <c r="K1329" s="74">
        <v>10.457965863759606</v>
      </c>
      <c r="L1329" s="74">
        <v>1.9662696965275752E-2</v>
      </c>
      <c r="M1329" s="74">
        <v>0</v>
      </c>
      <c r="N1329" s="74">
        <v>0.15923514534424321</v>
      </c>
    </row>
    <row r="1330" spans="1:14" x14ac:dyDescent="0.25">
      <c r="A1330" t="e">
        <f>VLOOKUP(VALUE(RIGHT(B1330,4)),'Waste Lookups'!$B$1:$C$295,2,FALSE)</f>
        <v>#N/A</v>
      </c>
      <c r="B1330" s="74" t="s">
        <v>3358</v>
      </c>
      <c r="C1330" s="74" t="s">
        <v>3359</v>
      </c>
      <c r="D1330" s="74">
        <v>0.63548484848484865</v>
      </c>
      <c r="E1330" s="74">
        <v>18.373259999999998</v>
      </c>
      <c r="F1330" s="74">
        <v>3.272727272727273E-2</v>
      </c>
      <c r="G1330" s="74">
        <v>0</v>
      </c>
      <c r="H1330" s="74">
        <v>0</v>
      </c>
      <c r="I1330" s="74"/>
      <c r="J1330" s="74">
        <v>0.28791560070018596</v>
      </c>
      <c r="K1330" s="74">
        <v>8.3242711487665346</v>
      </c>
      <c r="L1330" s="74">
        <v>1.4827564196089875E-2</v>
      </c>
      <c r="M1330" s="74">
        <v>0</v>
      </c>
      <c r="N1330" s="74">
        <v>0</v>
      </c>
    </row>
    <row r="1331" spans="1:14" x14ac:dyDescent="0.25">
      <c r="A1331" t="str">
        <f>VLOOKUP(VALUE(RIGHT(B1331,4)),'Waste Lookups'!$B$1:$C$295,2,FALSE)</f>
        <v>St Leonards Hospital</v>
      </c>
      <c r="B1331" s="74" t="s">
        <v>803</v>
      </c>
      <c r="C1331" s="74" t="s">
        <v>3360</v>
      </c>
      <c r="D1331" s="74">
        <v>3.818242424242424</v>
      </c>
      <c r="E1331" s="74">
        <v>122.34486</v>
      </c>
      <c r="F1331" s="74">
        <v>9.818181818181819E-2</v>
      </c>
      <c r="G1331" s="74">
        <v>0</v>
      </c>
      <c r="H1331" s="74">
        <v>0</v>
      </c>
      <c r="I1331" s="74"/>
      <c r="J1331" s="74">
        <v>1.560828982765587</v>
      </c>
      <c r="K1331" s="74">
        <v>50.01238322846573</v>
      </c>
      <c r="L1331" s="74">
        <v>4.0134965351030158E-2</v>
      </c>
      <c r="M1331" s="74">
        <v>0</v>
      </c>
      <c r="N1331" s="74">
        <v>0</v>
      </c>
    </row>
    <row r="1332" spans="1:14" x14ac:dyDescent="0.25">
      <c r="A1332" t="e">
        <f>VLOOKUP(VALUE(RIGHT(B1332,4)),'Waste Lookups'!$B$1:$C$295,2,FALSE)</f>
        <v>#N/A</v>
      </c>
      <c r="B1332" s="74" t="s">
        <v>3361</v>
      </c>
      <c r="C1332" s="74" t="s">
        <v>3362</v>
      </c>
      <c r="D1332" s="74">
        <v>0.48121212121212126</v>
      </c>
      <c r="E1332" s="74">
        <v>11.91372</v>
      </c>
      <c r="F1332" s="74">
        <v>3.272727272727273E-2</v>
      </c>
      <c r="G1332" s="74">
        <v>0</v>
      </c>
      <c r="H1332" s="74">
        <v>0</v>
      </c>
      <c r="I1332" s="74"/>
      <c r="J1332" s="74">
        <v>0.29046889852829505</v>
      </c>
      <c r="K1332" s="74">
        <v>7.1913507021762673</v>
      </c>
      <c r="L1332" s="74">
        <v>1.9754811738700168E-2</v>
      </c>
      <c r="M1332" s="74">
        <v>0</v>
      </c>
      <c r="N1332" s="74">
        <v>0</v>
      </c>
    </row>
    <row r="1333" spans="1:14" x14ac:dyDescent="0.25">
      <c r="A1333" t="e">
        <f>VLOOKUP(VALUE(RIGHT(B1333,4)),'Waste Lookups'!$B$1:$C$295,2,FALSE)</f>
        <v>#N/A</v>
      </c>
      <c r="B1333" s="74" t="s">
        <v>3363</v>
      </c>
      <c r="C1333" s="74" t="s">
        <v>3364</v>
      </c>
      <c r="D1333" s="74">
        <v>0</v>
      </c>
      <c r="E1333" s="74">
        <v>0</v>
      </c>
      <c r="F1333" s="74">
        <v>0</v>
      </c>
      <c r="G1333" s="74">
        <v>0</v>
      </c>
      <c r="H1333" s="74">
        <v>0</v>
      </c>
      <c r="I1333" s="74"/>
      <c r="J1333" s="74">
        <v>0</v>
      </c>
      <c r="K1333" s="74">
        <v>0</v>
      </c>
      <c r="L1333" s="74">
        <v>0</v>
      </c>
      <c r="M1333" s="74">
        <v>0</v>
      </c>
      <c r="N1333" s="74">
        <v>0</v>
      </c>
    </row>
    <row r="1334" spans="1:14" x14ac:dyDescent="0.25">
      <c r="A1334" t="e">
        <f>VLOOKUP(VALUE(RIGHT(B1334,4)),'Waste Lookups'!$B$1:$C$295,2,FALSE)</f>
        <v>#N/A</v>
      </c>
      <c r="B1334" s="74" t="s">
        <v>3365</v>
      </c>
      <c r="C1334" s="74" t="s">
        <v>3366</v>
      </c>
      <c r="D1334" s="74">
        <v>2.3180606060606062</v>
      </c>
      <c r="E1334" s="74">
        <v>10.222499999999998</v>
      </c>
      <c r="F1334" s="74">
        <v>0</v>
      </c>
      <c r="G1334" s="74">
        <v>0</v>
      </c>
      <c r="H1334" s="74">
        <v>0</v>
      </c>
      <c r="I1334" s="74"/>
      <c r="J1334" s="74">
        <v>0.43119912288874229</v>
      </c>
      <c r="K1334" s="74">
        <v>1.9015607366802905</v>
      </c>
      <c r="L1334" s="74">
        <v>0</v>
      </c>
      <c r="M1334" s="74">
        <v>0</v>
      </c>
      <c r="N1334" s="74">
        <v>0</v>
      </c>
    </row>
    <row r="1335" spans="1:14" x14ac:dyDescent="0.25">
      <c r="A1335" t="e">
        <f>VLOOKUP(VALUE(RIGHT(B1335,4)),'Waste Lookups'!$B$1:$C$295,2,FALSE)</f>
        <v>#N/A</v>
      </c>
      <c r="B1335" s="74" t="s">
        <v>3367</v>
      </c>
      <c r="C1335" s="74" t="s">
        <v>3368</v>
      </c>
      <c r="D1335" s="74">
        <v>2.2503939393939398</v>
      </c>
      <c r="E1335" s="74">
        <v>45.41574</v>
      </c>
      <c r="F1335" s="74">
        <v>0.26998181818181821</v>
      </c>
      <c r="G1335" s="74">
        <v>0</v>
      </c>
      <c r="H1335" s="74">
        <v>0</v>
      </c>
      <c r="I1335" s="74"/>
      <c r="J1335" s="74">
        <v>2.2424456813821347</v>
      </c>
      <c r="K1335" s="74">
        <v>45.255334298136866</v>
      </c>
      <c r="L1335" s="74">
        <v>0.26902825840197664</v>
      </c>
      <c r="M1335" s="74">
        <v>0</v>
      </c>
      <c r="N1335" s="74">
        <v>0</v>
      </c>
    </row>
    <row r="1336" spans="1:14" x14ac:dyDescent="0.25">
      <c r="A1336" t="e">
        <f>VLOOKUP(VALUE(RIGHT(B1336,4)),'Waste Lookups'!$B$1:$C$295,2,FALSE)</f>
        <v>#N/A</v>
      </c>
      <c r="B1336" s="74" t="s">
        <v>3369</v>
      </c>
      <c r="C1336" s="74" t="s">
        <v>3370</v>
      </c>
      <c r="D1336" s="74">
        <v>11.716818181818182</v>
      </c>
      <c r="E1336" s="74">
        <v>62.637600000000006</v>
      </c>
      <c r="F1336" s="74">
        <v>0</v>
      </c>
      <c r="G1336" s="74">
        <v>0.99863999999999986</v>
      </c>
      <c r="H1336" s="74">
        <v>0</v>
      </c>
      <c r="I1336" s="74"/>
      <c r="J1336" s="74">
        <v>8.8599901924981257</v>
      </c>
      <c r="K1336" s="74">
        <v>47.365121918747938</v>
      </c>
      <c r="L1336" s="74">
        <v>0</v>
      </c>
      <c r="M1336" s="74">
        <v>0.75514875015866534</v>
      </c>
      <c r="N1336" s="74">
        <v>0</v>
      </c>
    </row>
    <row r="1337" spans="1:14" x14ac:dyDescent="0.25">
      <c r="A1337" t="e">
        <f>VLOOKUP(VALUE(RIGHT(B1337,4)),'Waste Lookups'!$B$1:$C$295,2,FALSE)</f>
        <v>#N/A</v>
      </c>
      <c r="B1337" s="74" t="s">
        <v>3371</v>
      </c>
      <c r="C1337" s="74" t="s">
        <v>3372</v>
      </c>
      <c r="D1337" s="74">
        <v>0</v>
      </c>
      <c r="E1337" s="74">
        <v>0</v>
      </c>
      <c r="F1337" s="74">
        <v>0</v>
      </c>
      <c r="G1337" s="74">
        <v>0</v>
      </c>
      <c r="H1337" s="74">
        <v>0</v>
      </c>
      <c r="I1337" s="74"/>
      <c r="J1337" s="74">
        <v>0</v>
      </c>
      <c r="K1337" s="74">
        <v>0</v>
      </c>
      <c r="L1337" s="74">
        <v>0</v>
      </c>
      <c r="M1337" s="74">
        <v>0</v>
      </c>
      <c r="N1337" s="74">
        <v>0</v>
      </c>
    </row>
    <row r="1338" spans="1:14" x14ac:dyDescent="0.25">
      <c r="A1338" t="e">
        <f>VLOOKUP(VALUE(RIGHT(B1338,4)),'Waste Lookups'!$B$1:$C$295,2,FALSE)</f>
        <v>#N/A</v>
      </c>
      <c r="B1338" s="74" t="s">
        <v>3373</v>
      </c>
      <c r="C1338" s="74" t="s">
        <v>3374</v>
      </c>
      <c r="D1338" s="74">
        <v>4.8807575757575759</v>
      </c>
      <c r="E1338" s="74">
        <v>14.569319999999998</v>
      </c>
      <c r="F1338" s="74">
        <v>0.46812727272727284</v>
      </c>
      <c r="G1338" s="74">
        <v>9.259109999999998</v>
      </c>
      <c r="H1338" s="74">
        <v>0</v>
      </c>
      <c r="I1338" s="74"/>
      <c r="J1338" s="74">
        <v>9.8446540392232489</v>
      </c>
      <c r="K1338" s="74">
        <v>29.386813985423824</v>
      </c>
      <c r="L1338" s="74">
        <v>0.94422863147628955</v>
      </c>
      <c r="M1338" s="74">
        <v>18.675939799563576</v>
      </c>
      <c r="N1338" s="74">
        <v>0</v>
      </c>
    </row>
    <row r="1339" spans="1:14" x14ac:dyDescent="0.25">
      <c r="A1339" t="e">
        <f>VLOOKUP(VALUE(RIGHT(B1339,4)),'Waste Lookups'!$B$1:$C$295,2,FALSE)</f>
        <v>#N/A</v>
      </c>
      <c r="B1339" s="74" t="s">
        <v>3375</v>
      </c>
      <c r="C1339" s="74" t="s">
        <v>3376</v>
      </c>
      <c r="D1339" s="74">
        <v>0.37887878787878793</v>
      </c>
      <c r="E1339" s="74">
        <v>0</v>
      </c>
      <c r="F1339" s="74">
        <v>3.9272727272727279E-2</v>
      </c>
      <c r="G1339" s="74">
        <v>0</v>
      </c>
      <c r="H1339" s="74">
        <v>0.55229185564977323</v>
      </c>
      <c r="I1339" s="74"/>
      <c r="J1339" s="74">
        <v>1.6556653895392117</v>
      </c>
      <c r="K1339" s="74">
        <v>0</v>
      </c>
      <c r="L1339" s="74">
        <v>0.17161819921961277</v>
      </c>
      <c r="M1339" s="74">
        <v>0</v>
      </c>
      <c r="N1339" s="74">
        <v>2.4134645157708245</v>
      </c>
    </row>
    <row r="1340" spans="1:14" x14ac:dyDescent="0.25">
      <c r="A1340" t="e">
        <f>VLOOKUP(VALUE(RIGHT(B1340,4)),'Waste Lookups'!$B$1:$C$295,2,FALSE)</f>
        <v>#N/A</v>
      </c>
      <c r="B1340" s="74" t="s">
        <v>3377</v>
      </c>
      <c r="C1340" s="74" t="s">
        <v>3378</v>
      </c>
      <c r="D1340" s="74">
        <v>0</v>
      </c>
      <c r="E1340" s="74">
        <v>7.7344200000000001</v>
      </c>
      <c r="F1340" s="74">
        <v>0</v>
      </c>
      <c r="G1340" s="74">
        <v>0</v>
      </c>
      <c r="H1340" s="74">
        <v>0</v>
      </c>
      <c r="I1340" s="74"/>
      <c r="J1340" s="74">
        <v>0</v>
      </c>
      <c r="K1340" s="74">
        <v>1.9601999999999997</v>
      </c>
      <c r="L1340" s="74">
        <v>0</v>
      </c>
      <c r="M1340" s="74">
        <v>0</v>
      </c>
      <c r="N1340" s="74">
        <v>0</v>
      </c>
    </row>
    <row r="1341" spans="1:14" x14ac:dyDescent="0.25">
      <c r="A1341" t="e">
        <f>VLOOKUP(VALUE(RIGHT(B1341,4)),'Waste Lookups'!$B$1:$C$295,2,FALSE)</f>
        <v>#N/A</v>
      </c>
      <c r="B1341" s="74" t="s">
        <v>3379</v>
      </c>
      <c r="C1341" s="74" t="s">
        <v>3380</v>
      </c>
      <c r="D1341" s="74">
        <v>0</v>
      </c>
      <c r="E1341" s="74">
        <v>0</v>
      </c>
      <c r="F1341" s="74">
        <v>0</v>
      </c>
      <c r="G1341" s="74">
        <v>0</v>
      </c>
      <c r="H1341" s="74">
        <v>0</v>
      </c>
      <c r="I1341" s="74"/>
      <c r="J1341" s="74">
        <v>0</v>
      </c>
      <c r="K1341" s="74">
        <v>0</v>
      </c>
      <c r="L1341" s="74">
        <v>0</v>
      </c>
      <c r="M1341" s="74">
        <v>0</v>
      </c>
      <c r="N1341" s="74">
        <v>0</v>
      </c>
    </row>
    <row r="1342" spans="1:14" x14ac:dyDescent="0.25">
      <c r="A1342" t="e">
        <f>VLOOKUP(VALUE(RIGHT(B1342,4)),'Waste Lookups'!$B$1:$C$295,2,FALSE)</f>
        <v>#N/A</v>
      </c>
      <c r="B1342" s="74" t="s">
        <v>3381</v>
      </c>
      <c r="C1342" s="74" t="s">
        <v>3382</v>
      </c>
      <c r="D1342" s="74">
        <v>0</v>
      </c>
      <c r="E1342" s="74">
        <v>0</v>
      </c>
      <c r="F1342" s="74">
        <v>0</v>
      </c>
      <c r="G1342" s="74">
        <v>0</v>
      </c>
      <c r="H1342" s="74">
        <v>0</v>
      </c>
      <c r="I1342" s="74"/>
      <c r="J1342" s="74">
        <v>0</v>
      </c>
      <c r="K1342" s="74">
        <v>0</v>
      </c>
      <c r="L1342" s="74">
        <v>0</v>
      </c>
      <c r="M1342" s="74">
        <v>0</v>
      </c>
      <c r="N1342" s="74">
        <v>0</v>
      </c>
    </row>
    <row r="1343" spans="1:14" x14ac:dyDescent="0.25">
      <c r="A1343" t="e">
        <f>VLOOKUP(VALUE(RIGHT(B1343,4)),'Waste Lookups'!$B$1:$C$295,2,FALSE)</f>
        <v>#N/A</v>
      </c>
      <c r="B1343" s="74" t="s">
        <v>3383</v>
      </c>
      <c r="C1343" s="74" t="s">
        <v>3384</v>
      </c>
      <c r="D1343" s="74">
        <v>9.1080909090909099</v>
      </c>
      <c r="E1343" s="74">
        <v>88.790759999999992</v>
      </c>
      <c r="F1343" s="74">
        <v>0</v>
      </c>
      <c r="G1343" s="74">
        <v>0</v>
      </c>
      <c r="H1343" s="74">
        <v>0</v>
      </c>
      <c r="I1343" s="74"/>
      <c r="J1343" s="74">
        <v>2.5871418181717765</v>
      </c>
      <c r="K1343" s="74">
        <v>25.220904200019881</v>
      </c>
      <c r="L1343" s="74">
        <v>0</v>
      </c>
      <c r="M1343" s="74">
        <v>0</v>
      </c>
      <c r="N1343" s="74">
        <v>0</v>
      </c>
    </row>
    <row r="1344" spans="1:14" x14ac:dyDescent="0.25">
      <c r="A1344" t="e">
        <f>VLOOKUP(VALUE(RIGHT(B1344,4)),'Waste Lookups'!$B$1:$C$295,2,FALSE)</f>
        <v>#N/A</v>
      </c>
      <c r="B1344" s="74" t="s">
        <v>3385</v>
      </c>
      <c r="C1344" s="74" t="s">
        <v>3386</v>
      </c>
      <c r="D1344" s="74">
        <v>0</v>
      </c>
      <c r="E1344" s="74">
        <v>9.8152799999999996</v>
      </c>
      <c r="F1344" s="74">
        <v>0</v>
      </c>
      <c r="G1344" s="74">
        <v>0</v>
      </c>
      <c r="H1344" s="74">
        <v>0</v>
      </c>
      <c r="I1344" s="74"/>
      <c r="J1344" s="74">
        <v>0</v>
      </c>
      <c r="K1344" s="74">
        <v>1.8149999999999999</v>
      </c>
      <c r="L1344" s="74">
        <v>0</v>
      </c>
      <c r="M1344" s="74">
        <v>0</v>
      </c>
      <c r="N1344" s="74">
        <v>0</v>
      </c>
    </row>
    <row r="1345" spans="1:14" x14ac:dyDescent="0.25">
      <c r="A1345" t="e">
        <f>VLOOKUP(VALUE(RIGHT(B1345,4)),'Waste Lookups'!$B$1:$C$295,2,FALSE)</f>
        <v>#N/A</v>
      </c>
      <c r="B1345" s="74" t="s">
        <v>3387</v>
      </c>
      <c r="C1345" s="74" t="s">
        <v>3388</v>
      </c>
      <c r="D1345" s="74">
        <v>0</v>
      </c>
      <c r="E1345" s="74">
        <v>0</v>
      </c>
      <c r="F1345" s="74">
        <v>0</v>
      </c>
      <c r="G1345" s="74">
        <v>0</v>
      </c>
      <c r="H1345" s="74">
        <v>0</v>
      </c>
      <c r="I1345" s="74"/>
      <c r="J1345" s="74">
        <v>0</v>
      </c>
      <c r="K1345" s="74">
        <v>0</v>
      </c>
      <c r="L1345" s="74">
        <v>0</v>
      </c>
      <c r="M1345" s="74">
        <v>0</v>
      </c>
      <c r="N1345" s="74">
        <v>0</v>
      </c>
    </row>
    <row r="1346" spans="1:14" x14ac:dyDescent="0.25">
      <c r="A1346" t="e">
        <f>VLOOKUP(VALUE(RIGHT(B1346,4)),'Waste Lookups'!$B$1:$C$295,2,FALSE)</f>
        <v>#N/A</v>
      </c>
      <c r="B1346" s="74" t="s">
        <v>3389</v>
      </c>
      <c r="C1346" s="74" t="s">
        <v>3390</v>
      </c>
      <c r="D1346" s="74">
        <v>0</v>
      </c>
      <c r="E1346" s="74">
        <v>47.338919999999987</v>
      </c>
      <c r="F1346" s="74">
        <v>0</v>
      </c>
      <c r="G1346" s="74">
        <v>5.9986800000000002</v>
      </c>
      <c r="H1346" s="74">
        <v>0</v>
      </c>
      <c r="I1346" s="74"/>
      <c r="J1346" s="74">
        <v>0</v>
      </c>
      <c r="K1346" s="74">
        <v>12.518643986096858</v>
      </c>
      <c r="L1346" s="74">
        <v>0</v>
      </c>
      <c r="M1346" s="74">
        <v>1.5863340208547114</v>
      </c>
      <c r="N1346" s="74">
        <v>0</v>
      </c>
    </row>
    <row r="1347" spans="1:14" x14ac:dyDescent="0.25">
      <c r="A1347" t="e">
        <f>VLOOKUP(VALUE(RIGHT(B1347,4)),'Waste Lookups'!$B$1:$C$295,2,FALSE)</f>
        <v>#N/A</v>
      </c>
      <c r="B1347" s="74" t="s">
        <v>3391</v>
      </c>
      <c r="C1347" s="74" t="s">
        <v>3392</v>
      </c>
      <c r="D1347" s="74">
        <v>7.8396363636363633</v>
      </c>
      <c r="E1347" s="74">
        <v>0</v>
      </c>
      <c r="F1347" s="74">
        <v>0</v>
      </c>
      <c r="G1347" s="74">
        <v>0</v>
      </c>
      <c r="H1347" s="74">
        <v>0</v>
      </c>
      <c r="I1347" s="74"/>
      <c r="J1347" s="74">
        <v>59.920444444444442</v>
      </c>
      <c r="K1347" s="74">
        <v>0</v>
      </c>
      <c r="L1347" s="74">
        <v>0</v>
      </c>
      <c r="M1347" s="74">
        <v>0</v>
      </c>
      <c r="N1347" s="74">
        <v>0</v>
      </c>
    </row>
    <row r="1348" spans="1:14" x14ac:dyDescent="0.25">
      <c r="A1348" t="e">
        <f>VLOOKUP(VALUE(RIGHT(B1348,4)),'Waste Lookups'!$B$1:$C$295,2,FALSE)</f>
        <v>#N/A</v>
      </c>
      <c r="B1348" s="74" t="s">
        <v>3393</v>
      </c>
      <c r="C1348" s="74" t="s">
        <v>3394</v>
      </c>
      <c r="D1348" s="74">
        <v>0</v>
      </c>
      <c r="E1348" s="74">
        <v>9.0240000000000001E-2</v>
      </c>
      <c r="F1348" s="74">
        <v>0</v>
      </c>
      <c r="G1348" s="74">
        <v>0</v>
      </c>
      <c r="H1348" s="74">
        <v>0</v>
      </c>
      <c r="I1348" s="74"/>
      <c r="J1348" s="74">
        <v>0</v>
      </c>
      <c r="K1348" s="74">
        <v>0</v>
      </c>
      <c r="L1348" s="74">
        <v>0</v>
      </c>
      <c r="M1348" s="74">
        <v>0</v>
      </c>
      <c r="N1348" s="74">
        <v>0</v>
      </c>
    </row>
    <row r="1349" spans="1:14" x14ac:dyDescent="0.25">
      <c r="A1349" t="str">
        <f>VLOOKUP(VALUE(RIGHT(B1349,4)),'Waste Lookups'!$B$1:$C$295,2,FALSE)</f>
        <v>Goswell House (Angel house)</v>
      </c>
      <c r="B1349" s="74" t="s">
        <v>802</v>
      </c>
      <c r="C1349" s="74" t="s">
        <v>3395</v>
      </c>
      <c r="D1349" s="74">
        <v>0.22218181818181817</v>
      </c>
      <c r="E1349" s="74">
        <v>47.472000000000001</v>
      </c>
      <c r="F1349" s="74">
        <v>0</v>
      </c>
      <c r="G1349" s="74">
        <v>0</v>
      </c>
      <c r="H1349" s="74">
        <v>0</v>
      </c>
      <c r="I1349" s="74"/>
      <c r="J1349" s="74">
        <v>0.2902040602839544</v>
      </c>
      <c r="K1349" s="74">
        <v>62.005825960637772</v>
      </c>
      <c r="L1349" s="74">
        <v>0</v>
      </c>
      <c r="M1349" s="74">
        <v>0</v>
      </c>
      <c r="N1349" s="74">
        <v>0</v>
      </c>
    </row>
    <row r="1350" spans="1:14" x14ac:dyDescent="0.25">
      <c r="A1350" t="e">
        <f>VLOOKUP(VALUE(RIGHT(B1350,4)),'Waste Lookups'!$B$1:$C$295,2,FALSE)</f>
        <v>#N/A</v>
      </c>
      <c r="B1350" s="74" t="s">
        <v>3396</v>
      </c>
      <c r="C1350" s="74" t="s">
        <v>3397</v>
      </c>
      <c r="D1350" s="74">
        <v>0</v>
      </c>
      <c r="E1350" s="74">
        <v>13.422000000000001</v>
      </c>
      <c r="F1350" s="74">
        <v>3.272727272727273E-2</v>
      </c>
      <c r="G1350" s="74">
        <v>0</v>
      </c>
      <c r="H1350" s="74">
        <v>0</v>
      </c>
      <c r="I1350" s="74"/>
      <c r="J1350" s="74">
        <v>0</v>
      </c>
      <c r="K1350" s="74">
        <v>13.094634146341464</v>
      </c>
      <c r="L1350" s="74">
        <v>3.1929046563192905E-2</v>
      </c>
      <c r="M1350" s="74">
        <v>0</v>
      </c>
      <c r="N1350" s="74">
        <v>0</v>
      </c>
    </row>
    <row r="1351" spans="1:14" x14ac:dyDescent="0.25">
      <c r="A1351" t="e">
        <f>VLOOKUP(VALUE(RIGHT(B1351,4)),'Waste Lookups'!$B$1:$C$295,2,FALSE)</f>
        <v>#N/A</v>
      </c>
      <c r="B1351" s="74" t="s">
        <v>3398</v>
      </c>
      <c r="C1351" s="74" t="s">
        <v>3399</v>
      </c>
      <c r="D1351" s="74">
        <v>0</v>
      </c>
      <c r="E1351" s="74">
        <v>2.8270200000000001</v>
      </c>
      <c r="F1351" s="74">
        <v>0</v>
      </c>
      <c r="G1351" s="74">
        <v>0</v>
      </c>
      <c r="H1351" s="74">
        <v>0</v>
      </c>
      <c r="I1351" s="74"/>
      <c r="J1351" s="74">
        <v>0</v>
      </c>
      <c r="K1351" s="74">
        <v>2.7555000000000001</v>
      </c>
      <c r="L1351" s="74">
        <v>0</v>
      </c>
      <c r="M1351" s="74">
        <v>0</v>
      </c>
      <c r="N1351" s="74">
        <v>0</v>
      </c>
    </row>
    <row r="1352" spans="1:14" x14ac:dyDescent="0.25">
      <c r="A1352" t="e">
        <f>VLOOKUP(VALUE(RIGHT(B1352,4)),'Waste Lookups'!$B$1:$C$295,2,FALSE)</f>
        <v>#N/A</v>
      </c>
      <c r="B1352" s="74" t="s">
        <v>3400</v>
      </c>
      <c r="C1352" s="74" t="s">
        <v>3401</v>
      </c>
      <c r="D1352" s="74">
        <v>0.1006969696969697</v>
      </c>
      <c r="E1352" s="74">
        <v>0</v>
      </c>
      <c r="F1352" s="74">
        <v>0</v>
      </c>
      <c r="G1352" s="74">
        <v>0</v>
      </c>
      <c r="H1352" s="74">
        <v>0</v>
      </c>
      <c r="I1352" s="74"/>
      <c r="J1352" s="74">
        <v>0</v>
      </c>
      <c r="K1352" s="74">
        <v>0</v>
      </c>
      <c r="L1352" s="74">
        <v>0</v>
      </c>
      <c r="M1352" s="74">
        <v>0</v>
      </c>
      <c r="N1352" s="74">
        <v>0</v>
      </c>
    </row>
    <row r="1353" spans="1:14" x14ac:dyDescent="0.25">
      <c r="A1353" t="e">
        <f>VLOOKUP(VALUE(RIGHT(B1353,4)),'Waste Lookups'!$B$1:$C$295,2,FALSE)</f>
        <v>#N/A</v>
      </c>
      <c r="B1353" s="74" t="s">
        <v>3402</v>
      </c>
      <c r="C1353" s="74" t="s">
        <v>3403</v>
      </c>
      <c r="D1353" s="74">
        <v>0</v>
      </c>
      <c r="E1353" s="74">
        <v>0</v>
      </c>
      <c r="F1353" s="74">
        <v>3.272727272727273E-2</v>
      </c>
      <c r="G1353" s="74">
        <v>0</v>
      </c>
      <c r="H1353" s="74">
        <v>0</v>
      </c>
      <c r="I1353" s="74"/>
      <c r="J1353" s="74">
        <v>0</v>
      </c>
      <c r="K1353" s="74">
        <v>0</v>
      </c>
      <c r="L1353" s="74">
        <v>0</v>
      </c>
      <c r="M1353" s="74">
        <v>0</v>
      </c>
      <c r="N1353" s="74">
        <v>0</v>
      </c>
    </row>
    <row r="1354" spans="1:14" x14ac:dyDescent="0.25">
      <c r="A1354" t="e">
        <f>VLOOKUP(VALUE(RIGHT(B1354,4)),'Waste Lookups'!$B$1:$C$295,2,FALSE)</f>
        <v>#N/A</v>
      </c>
      <c r="B1354" s="74" t="s">
        <v>3404</v>
      </c>
      <c r="C1354" s="74" t="s">
        <v>3405</v>
      </c>
      <c r="D1354" s="74">
        <v>0</v>
      </c>
      <c r="E1354" s="74">
        <v>0</v>
      </c>
      <c r="F1354" s="74">
        <v>3.272727272727273E-2</v>
      </c>
      <c r="G1354" s="74">
        <v>0</v>
      </c>
      <c r="H1354" s="74">
        <v>0</v>
      </c>
      <c r="I1354" s="74"/>
      <c r="J1354" s="74">
        <v>0</v>
      </c>
      <c r="K1354" s="74">
        <v>0</v>
      </c>
      <c r="L1354" s="74">
        <v>0</v>
      </c>
      <c r="M1354" s="74">
        <v>0</v>
      </c>
      <c r="N1354" s="74">
        <v>0</v>
      </c>
    </row>
    <row r="1355" spans="1:14" x14ac:dyDescent="0.25">
      <c r="A1355" t="e">
        <f>VLOOKUP(VALUE(RIGHT(B1355,4)),'Waste Lookups'!$B$1:$C$295,2,FALSE)</f>
        <v>#N/A</v>
      </c>
      <c r="B1355" s="74" t="s">
        <v>3406</v>
      </c>
      <c r="C1355" s="74" t="s">
        <v>3407</v>
      </c>
      <c r="D1355" s="74">
        <v>0</v>
      </c>
      <c r="E1355" s="74">
        <v>0</v>
      </c>
      <c r="F1355" s="74">
        <v>3.272727272727273E-2</v>
      </c>
      <c r="G1355" s="74">
        <v>0</v>
      </c>
      <c r="H1355" s="74">
        <v>0</v>
      </c>
      <c r="I1355" s="74"/>
      <c r="J1355" s="74">
        <v>0</v>
      </c>
      <c r="K1355" s="74">
        <v>0</v>
      </c>
      <c r="L1355" s="74">
        <v>0</v>
      </c>
      <c r="M1355" s="74">
        <v>0</v>
      </c>
      <c r="N1355" s="74">
        <v>0</v>
      </c>
    </row>
    <row r="1356" spans="1:14" x14ac:dyDescent="0.25">
      <c r="A1356" t="e">
        <f>VLOOKUP(VALUE(RIGHT(B1356,4)),'Waste Lookups'!$B$1:$C$295,2,FALSE)</f>
        <v>#N/A</v>
      </c>
      <c r="B1356" s="74" t="s">
        <v>3408</v>
      </c>
      <c r="C1356" s="74" t="s">
        <v>3409</v>
      </c>
      <c r="D1356" s="74">
        <v>0</v>
      </c>
      <c r="E1356" s="74">
        <v>28.084979999999995</v>
      </c>
      <c r="F1356" s="74">
        <v>3.272727272727273E-2</v>
      </c>
      <c r="G1356" s="74">
        <v>0</v>
      </c>
      <c r="H1356" s="74">
        <v>0</v>
      </c>
      <c r="I1356" s="74"/>
      <c r="J1356" s="74">
        <v>0</v>
      </c>
      <c r="K1356" s="74">
        <v>27.400133557715428</v>
      </c>
      <c r="L1356" s="74">
        <v>3.1929224934717788E-2</v>
      </c>
      <c r="M1356" s="74">
        <v>0</v>
      </c>
      <c r="N1356" s="74">
        <v>0</v>
      </c>
    </row>
    <row r="1357" spans="1:14" x14ac:dyDescent="0.25">
      <c r="A1357" t="str">
        <f>VLOOKUP(VALUE(RIGHT(B1357,4)),'Waste Lookups'!$B$1:$C$295,2,FALSE)</f>
        <v>Warehouse K</v>
      </c>
      <c r="B1357" s="74" t="s">
        <v>721</v>
      </c>
      <c r="C1357" s="74" t="s">
        <v>3410</v>
      </c>
      <c r="D1357" s="74">
        <v>2.1971212121212118</v>
      </c>
      <c r="E1357" s="74">
        <v>0</v>
      </c>
      <c r="F1357" s="74">
        <v>3.272727272727273E-2</v>
      </c>
      <c r="G1357" s="74">
        <v>0</v>
      </c>
      <c r="H1357" s="74">
        <v>0</v>
      </c>
      <c r="I1357" s="74"/>
      <c r="J1357" s="74">
        <v>0</v>
      </c>
      <c r="K1357" s="74">
        <v>0</v>
      </c>
      <c r="L1357" s="74">
        <v>0</v>
      </c>
      <c r="M1357" s="74">
        <v>0</v>
      </c>
      <c r="N1357" s="74">
        <v>0</v>
      </c>
    </row>
    <row r="1358" spans="1:14" x14ac:dyDescent="0.25">
      <c r="A1358" t="e">
        <f>VLOOKUP(VALUE(RIGHT(B1358,4)),'Waste Lookups'!$B$1:$C$295,2,FALSE)</f>
        <v>#N/A</v>
      </c>
      <c r="B1358" s="74" t="s">
        <v>3411</v>
      </c>
      <c r="C1358" s="74" t="s">
        <v>3412</v>
      </c>
      <c r="D1358" s="74">
        <v>0</v>
      </c>
      <c r="E1358" s="74">
        <v>11.17248</v>
      </c>
      <c r="F1358" s="74">
        <v>3.272727272727273E-2</v>
      </c>
      <c r="G1358" s="74">
        <v>0</v>
      </c>
      <c r="H1358" s="74">
        <v>0</v>
      </c>
      <c r="I1358" s="74"/>
      <c r="J1358" s="74">
        <v>0</v>
      </c>
      <c r="K1358" s="74">
        <v>10.90013267520531</v>
      </c>
      <c r="L1358" s="74">
        <v>3.1929492362027148E-2</v>
      </c>
      <c r="M1358" s="74">
        <v>0</v>
      </c>
      <c r="N1358" s="74">
        <v>0</v>
      </c>
    </row>
    <row r="1359" spans="1:14" x14ac:dyDescent="0.25">
      <c r="A1359" t="e">
        <f>VLOOKUP(VALUE(RIGHT(B1359,4)),'Waste Lookups'!$B$1:$C$295,2,FALSE)</f>
        <v>#N/A</v>
      </c>
      <c r="B1359" s="74" t="s">
        <v>3413</v>
      </c>
      <c r="C1359" s="74" t="s">
        <v>3414</v>
      </c>
      <c r="D1359" s="74">
        <v>0</v>
      </c>
      <c r="E1359" s="74">
        <v>131.80950000000001</v>
      </c>
      <c r="F1359" s="74">
        <v>3.272727272727273E-2</v>
      </c>
      <c r="G1359" s="74">
        <v>0</v>
      </c>
      <c r="H1359" s="74">
        <v>0</v>
      </c>
      <c r="I1359" s="74"/>
      <c r="J1359" s="74">
        <v>0</v>
      </c>
      <c r="K1359" s="74">
        <v>128.59463414634146</v>
      </c>
      <c r="L1359" s="74">
        <v>3.1929046563192905E-2</v>
      </c>
      <c r="M1359" s="74">
        <v>0</v>
      </c>
      <c r="N1359" s="74">
        <v>0</v>
      </c>
    </row>
    <row r="1360" spans="1:14" x14ac:dyDescent="0.25">
      <c r="A1360" t="e">
        <f>VLOOKUP(VALUE(RIGHT(B1360,4)),'Waste Lookups'!$B$1:$C$295,2,FALSE)</f>
        <v>#N/A</v>
      </c>
      <c r="B1360" s="74" t="s">
        <v>3415</v>
      </c>
      <c r="C1360" s="74" t="s">
        <v>3416</v>
      </c>
      <c r="D1360" s="74">
        <v>0</v>
      </c>
      <c r="E1360" s="74">
        <v>0</v>
      </c>
      <c r="F1360" s="74">
        <v>3.272727272727273E-2</v>
      </c>
      <c r="G1360" s="74">
        <v>0</v>
      </c>
      <c r="H1360" s="74">
        <v>0</v>
      </c>
      <c r="I1360" s="74"/>
      <c r="J1360" s="74">
        <v>0</v>
      </c>
      <c r="K1360" s="74">
        <v>0</v>
      </c>
      <c r="L1360" s="74">
        <v>0</v>
      </c>
      <c r="M1360" s="74">
        <v>0</v>
      </c>
      <c r="N1360" s="74">
        <v>0</v>
      </c>
    </row>
    <row r="1361" spans="1:14" x14ac:dyDescent="0.25">
      <c r="A1361" t="e">
        <f>VLOOKUP(VALUE(RIGHT(B1361,4)),'Waste Lookups'!$B$1:$C$295,2,FALSE)</f>
        <v>#N/A</v>
      </c>
      <c r="B1361" s="74" t="s">
        <v>3417</v>
      </c>
      <c r="C1361" s="74" t="s">
        <v>3418</v>
      </c>
      <c r="D1361" s="74">
        <v>0</v>
      </c>
      <c r="E1361" s="74">
        <v>0</v>
      </c>
      <c r="F1361" s="74">
        <v>0</v>
      </c>
      <c r="G1361" s="74">
        <v>0.42075000000000001</v>
      </c>
      <c r="H1361" s="74">
        <v>0</v>
      </c>
      <c r="I1361" s="74"/>
      <c r="J1361" s="74">
        <v>0</v>
      </c>
      <c r="K1361" s="74">
        <v>0</v>
      </c>
      <c r="L1361" s="74">
        <v>0</v>
      </c>
      <c r="M1361" s="74">
        <v>0</v>
      </c>
      <c r="N1361" s="74">
        <v>0</v>
      </c>
    </row>
    <row r="1362" spans="1:14" x14ac:dyDescent="0.25">
      <c r="A1362" t="e">
        <f>VLOOKUP(VALUE(RIGHT(B1362,4)),'Waste Lookups'!$B$1:$C$295,2,FALSE)</f>
        <v>#N/A</v>
      </c>
      <c r="B1362" s="74" t="s">
        <v>3419</v>
      </c>
      <c r="C1362" s="74" t="s">
        <v>3420</v>
      </c>
      <c r="D1362" s="74">
        <v>0.72915151515151522</v>
      </c>
      <c r="E1362" s="74">
        <v>6.90726</v>
      </c>
      <c r="F1362" s="74">
        <v>3.272727272727273E-2</v>
      </c>
      <c r="G1362" s="74">
        <v>0</v>
      </c>
      <c r="H1362" s="74">
        <v>0</v>
      </c>
      <c r="I1362" s="74"/>
      <c r="J1362" s="74">
        <v>0.71113774946861197</v>
      </c>
      <c r="K1362" s="74">
        <v>6.7366154075314046</v>
      </c>
      <c r="L1362" s="74">
        <v>3.1918741975982913E-2</v>
      </c>
      <c r="M1362" s="74">
        <v>0</v>
      </c>
      <c r="N1362" s="74">
        <v>0</v>
      </c>
    </row>
    <row r="1363" spans="1:14" x14ac:dyDescent="0.25">
      <c r="A1363" t="e">
        <f>VLOOKUP(VALUE(RIGHT(B1363,4)),'Waste Lookups'!$B$1:$C$295,2,FALSE)</f>
        <v>#N/A</v>
      </c>
      <c r="B1363" s="74" t="s">
        <v>3421</v>
      </c>
      <c r="C1363" s="74" t="s">
        <v>3422</v>
      </c>
      <c r="D1363" s="74">
        <v>0.74224242424242426</v>
      </c>
      <c r="E1363" s="74">
        <v>22.655339999999999</v>
      </c>
      <c r="F1363" s="74">
        <v>3.272727272727273E-2</v>
      </c>
      <c r="G1363" s="74">
        <v>0</v>
      </c>
      <c r="H1363" s="74">
        <v>0</v>
      </c>
      <c r="I1363" s="74"/>
      <c r="J1363" s="74">
        <v>0.72421761582768596</v>
      </c>
      <c r="K1363" s="74">
        <v>22.105171820799587</v>
      </c>
      <c r="L1363" s="74">
        <v>3.1932515109573817E-2</v>
      </c>
      <c r="M1363" s="74">
        <v>0</v>
      </c>
      <c r="N1363" s="74">
        <v>0</v>
      </c>
    </row>
    <row r="1364" spans="1:14" x14ac:dyDescent="0.25">
      <c r="A1364" t="e">
        <f>VLOOKUP(VALUE(RIGHT(B1364,4)),'Waste Lookups'!$B$1:$C$295,2,FALSE)</f>
        <v>#N/A</v>
      </c>
      <c r="B1364" s="74" t="s">
        <v>3423</v>
      </c>
      <c r="C1364" s="74" t="s">
        <v>3424</v>
      </c>
      <c r="D1364" s="74">
        <v>0</v>
      </c>
      <c r="E1364" s="74">
        <v>0</v>
      </c>
      <c r="F1364" s="74">
        <v>3.272727272727273E-2</v>
      </c>
      <c r="G1364" s="74">
        <v>0</v>
      </c>
      <c r="H1364" s="74">
        <v>0</v>
      </c>
      <c r="I1364" s="74"/>
      <c r="J1364" s="74">
        <v>0</v>
      </c>
      <c r="K1364" s="74">
        <v>0</v>
      </c>
      <c r="L1364" s="74">
        <v>0</v>
      </c>
      <c r="M1364" s="74">
        <v>0</v>
      </c>
      <c r="N1364" s="74">
        <v>0</v>
      </c>
    </row>
    <row r="1365" spans="1:14" x14ac:dyDescent="0.25">
      <c r="A1365" t="str">
        <f>VLOOKUP(VALUE(RIGHT(B1365,4)),'Waste Lookups'!$B$1:$C$295,2,FALSE)</f>
        <v>Becketts House</v>
      </c>
      <c r="B1365" s="74" t="s">
        <v>722</v>
      </c>
      <c r="C1365" s="74" t="s">
        <v>3425</v>
      </c>
      <c r="D1365" s="74">
        <v>0</v>
      </c>
      <c r="E1365" s="74">
        <v>5.5454399999999993</v>
      </c>
      <c r="F1365" s="74">
        <v>0</v>
      </c>
      <c r="G1365" s="74">
        <v>0</v>
      </c>
      <c r="H1365" s="74">
        <v>0</v>
      </c>
      <c r="I1365" s="74"/>
      <c r="J1365" s="74">
        <v>0</v>
      </c>
      <c r="K1365" s="74">
        <v>21.625064999999999</v>
      </c>
      <c r="L1365" s="74">
        <v>0</v>
      </c>
      <c r="M1365" s="74">
        <v>0</v>
      </c>
      <c r="N1365" s="74">
        <v>0</v>
      </c>
    </row>
    <row r="1366" spans="1:14" x14ac:dyDescent="0.25">
      <c r="A1366" t="e">
        <f>VLOOKUP(VALUE(RIGHT(B1366,4)),'Waste Lookups'!$B$1:$C$295,2,FALSE)</f>
        <v>#N/A</v>
      </c>
      <c r="B1366" s="74" t="s">
        <v>3426</v>
      </c>
      <c r="C1366" s="74" t="s">
        <v>3427</v>
      </c>
      <c r="D1366" s="74">
        <v>0.17854545454545456</v>
      </c>
      <c r="E1366" s="74">
        <v>49.527240000000006</v>
      </c>
      <c r="F1366" s="74">
        <v>0</v>
      </c>
      <c r="G1366" s="74">
        <v>21.912569999999999</v>
      </c>
      <c r="H1366" s="74">
        <v>0</v>
      </c>
      <c r="I1366" s="74"/>
      <c r="J1366" s="74">
        <v>0.14241534900294842</v>
      </c>
      <c r="K1366" s="74">
        <v>39.505005533238617</v>
      </c>
      <c r="L1366" s="74">
        <v>0</v>
      </c>
      <c r="M1366" s="74">
        <v>17.478385613603312</v>
      </c>
      <c r="N1366" s="74">
        <v>0</v>
      </c>
    </row>
    <row r="1367" spans="1:14" x14ac:dyDescent="0.25">
      <c r="A1367" t="e">
        <f>VLOOKUP(VALUE(RIGHT(B1367,4)),'Waste Lookups'!$B$1:$C$295,2,FALSE)</f>
        <v>#N/A</v>
      </c>
      <c r="B1367" s="74" t="s">
        <v>3428</v>
      </c>
      <c r="C1367" s="74" t="s">
        <v>3429</v>
      </c>
      <c r="D1367" s="74">
        <v>0.55442424242424249</v>
      </c>
      <c r="E1367" s="74">
        <v>17.511659999999999</v>
      </c>
      <c r="F1367" s="74">
        <v>0</v>
      </c>
      <c r="G1367" s="74">
        <v>0.80847000000000002</v>
      </c>
      <c r="H1367" s="74">
        <v>0</v>
      </c>
      <c r="I1367" s="74"/>
      <c r="J1367" s="74">
        <v>0.31666031348137003</v>
      </c>
      <c r="K1367" s="74">
        <v>10.001813270163565</v>
      </c>
      <c r="L1367" s="74">
        <v>0</v>
      </c>
      <c r="M1367" s="74">
        <v>0.46175896371498404</v>
      </c>
      <c r="N1367" s="74">
        <v>0</v>
      </c>
    </row>
    <row r="1368" spans="1:14" x14ac:dyDescent="0.25">
      <c r="A1368" t="e">
        <f>VLOOKUP(VALUE(RIGHT(B1368,4)),'Waste Lookups'!$B$1:$C$295,2,FALSE)</f>
        <v>#N/A</v>
      </c>
      <c r="B1368" s="74" t="s">
        <v>3430</v>
      </c>
      <c r="C1368" s="74" t="s">
        <v>3431</v>
      </c>
      <c r="D1368" s="74">
        <v>3.5696969696969692E-2</v>
      </c>
      <c r="E1368" s="74">
        <v>10.95786</v>
      </c>
      <c r="F1368" s="74">
        <v>0</v>
      </c>
      <c r="G1368" s="74">
        <v>0.26504999999999995</v>
      </c>
      <c r="H1368" s="74">
        <v>0</v>
      </c>
      <c r="I1368" s="74"/>
      <c r="J1368" s="74">
        <v>2.5185496547448633E-2</v>
      </c>
      <c r="K1368" s="74">
        <v>7.7311645089261809</v>
      </c>
      <c r="L1368" s="74">
        <v>0</v>
      </c>
      <c r="M1368" s="74">
        <v>0.18700231186480609</v>
      </c>
      <c r="N1368" s="74">
        <v>0</v>
      </c>
    </row>
    <row r="1369" spans="1:14" x14ac:dyDescent="0.25">
      <c r="A1369" t="e">
        <f>VLOOKUP(VALUE(RIGHT(B1369,4)),'Waste Lookups'!$B$1:$C$295,2,FALSE)</f>
        <v>#N/A</v>
      </c>
      <c r="B1369" s="74" t="s">
        <v>3432</v>
      </c>
      <c r="C1369" s="74" t="s">
        <v>3433</v>
      </c>
      <c r="D1369" s="74">
        <v>0</v>
      </c>
      <c r="E1369" s="74">
        <v>2.5918800000000002</v>
      </c>
      <c r="F1369" s="74">
        <v>0</v>
      </c>
      <c r="G1369" s="74">
        <v>0</v>
      </c>
      <c r="H1369" s="74">
        <v>0</v>
      </c>
      <c r="I1369" s="74"/>
      <c r="J1369" s="74">
        <v>0</v>
      </c>
      <c r="K1369" s="74">
        <v>10.372064999999999</v>
      </c>
      <c r="L1369" s="74">
        <v>0</v>
      </c>
      <c r="M1369" s="74">
        <v>0</v>
      </c>
      <c r="N1369" s="74">
        <v>0</v>
      </c>
    </row>
    <row r="1370" spans="1:14" x14ac:dyDescent="0.25">
      <c r="A1370" t="e">
        <f>VLOOKUP(VALUE(RIGHT(B1370,4)),'Waste Lookups'!$B$1:$C$295,2,FALSE)</f>
        <v>#N/A</v>
      </c>
      <c r="B1370" s="74" t="s">
        <v>3434</v>
      </c>
      <c r="C1370" s="74" t="s">
        <v>3435</v>
      </c>
      <c r="D1370" s="74">
        <v>0.55442424242424249</v>
      </c>
      <c r="E1370" s="74">
        <v>9.9057600000000008</v>
      </c>
      <c r="F1370" s="74">
        <v>0</v>
      </c>
      <c r="G1370" s="74">
        <v>0.10601999999999998</v>
      </c>
      <c r="H1370" s="74">
        <v>0</v>
      </c>
      <c r="I1370" s="74"/>
      <c r="J1370" s="74">
        <v>0.40309178691613545</v>
      </c>
      <c r="K1370" s="74">
        <v>7.2019406685810274</v>
      </c>
      <c r="L1370" s="74">
        <v>0</v>
      </c>
      <c r="M1370" s="74">
        <v>7.7081389987538607E-2</v>
      </c>
      <c r="N1370" s="74">
        <v>0</v>
      </c>
    </row>
    <row r="1371" spans="1:14" x14ac:dyDescent="0.25">
      <c r="A1371" t="e">
        <f>VLOOKUP(VALUE(RIGHT(B1371,4)),'Waste Lookups'!$B$1:$C$295,2,FALSE)</f>
        <v>#N/A</v>
      </c>
      <c r="B1371" s="74" t="s">
        <v>3436</v>
      </c>
      <c r="C1371" s="74" t="s">
        <v>3437</v>
      </c>
      <c r="D1371" s="74">
        <v>5.554818181818181</v>
      </c>
      <c r="E1371" s="74">
        <v>65.213520000000003</v>
      </c>
      <c r="F1371" s="74">
        <v>0</v>
      </c>
      <c r="G1371" s="74">
        <v>6.1646400000000003</v>
      </c>
      <c r="H1371" s="74">
        <v>0</v>
      </c>
      <c r="I1371" s="74"/>
      <c r="J1371" s="74">
        <v>3.5182685990556477</v>
      </c>
      <c r="K1371" s="74">
        <v>41.304444563258151</v>
      </c>
      <c r="L1371" s="74">
        <v>0</v>
      </c>
      <c r="M1371" s="74">
        <v>3.9045129159174925</v>
      </c>
      <c r="N1371" s="74">
        <v>0</v>
      </c>
    </row>
    <row r="1372" spans="1:14" x14ac:dyDescent="0.25">
      <c r="A1372" t="e">
        <f>VLOOKUP(VALUE(RIGHT(B1372,4)),'Waste Lookups'!$B$1:$C$295,2,FALSE)</f>
        <v>#N/A</v>
      </c>
      <c r="B1372" s="74" t="s">
        <v>3438</v>
      </c>
      <c r="C1372" s="74" t="s">
        <v>3439</v>
      </c>
      <c r="D1372" s="74">
        <v>0</v>
      </c>
      <c r="E1372" s="74">
        <v>1.5373200000000002</v>
      </c>
      <c r="F1372" s="74">
        <v>0</v>
      </c>
      <c r="G1372" s="74">
        <v>0</v>
      </c>
      <c r="H1372" s="74">
        <v>0</v>
      </c>
      <c r="I1372" s="74"/>
      <c r="J1372" s="74">
        <v>0</v>
      </c>
      <c r="K1372" s="74">
        <v>0.65433499999999989</v>
      </c>
      <c r="L1372" s="74">
        <v>0</v>
      </c>
      <c r="M1372" s="74">
        <v>0</v>
      </c>
      <c r="N1372" s="74">
        <v>0</v>
      </c>
    </row>
    <row r="1373" spans="1:14" x14ac:dyDescent="0.25">
      <c r="A1373" t="e">
        <f>VLOOKUP(VALUE(RIGHT(B1373,4)),'Waste Lookups'!$B$1:$C$295,2,FALSE)</f>
        <v>#N/A</v>
      </c>
      <c r="B1373" s="74" t="s">
        <v>3440</v>
      </c>
      <c r="C1373" s="74" t="s">
        <v>3441</v>
      </c>
      <c r="D1373" s="74">
        <v>3.5696969696969692E-2</v>
      </c>
      <c r="E1373" s="74">
        <v>18.884220000000003</v>
      </c>
      <c r="F1373" s="74">
        <v>0</v>
      </c>
      <c r="G1373" s="74">
        <v>2.3805000000000001</v>
      </c>
      <c r="H1373" s="74">
        <v>0</v>
      </c>
      <c r="I1373" s="74"/>
      <c r="J1373" s="74">
        <v>3.1730419613894847E-2</v>
      </c>
      <c r="K1373" s="74">
        <v>16.78585688835015</v>
      </c>
      <c r="L1373" s="74">
        <v>0</v>
      </c>
      <c r="M1373" s="74">
        <v>2.1159853212215034</v>
      </c>
      <c r="N1373" s="74">
        <v>0</v>
      </c>
    </row>
    <row r="1374" spans="1:14" x14ac:dyDescent="0.25">
      <c r="A1374" t="e">
        <f>VLOOKUP(VALUE(RIGHT(B1374,4)),'Waste Lookups'!$B$1:$C$295,2,FALSE)</f>
        <v>#N/A</v>
      </c>
      <c r="B1374" s="74" t="s">
        <v>3442</v>
      </c>
      <c r="C1374" s="74" t="s">
        <v>3443</v>
      </c>
      <c r="D1374" s="74">
        <v>0</v>
      </c>
      <c r="E1374" s="74">
        <v>20.622599999999995</v>
      </c>
      <c r="F1374" s="74">
        <v>0</v>
      </c>
      <c r="G1374" s="74">
        <v>5.8841099999999988</v>
      </c>
      <c r="H1374" s="74">
        <v>0</v>
      </c>
      <c r="I1374" s="74"/>
      <c r="J1374" s="74">
        <v>0</v>
      </c>
      <c r="K1374" s="74">
        <v>11.895407969903859</v>
      </c>
      <c r="L1374" s="74">
        <v>0</v>
      </c>
      <c r="M1374" s="74">
        <v>3.3940380451442107</v>
      </c>
      <c r="N1374" s="74">
        <v>0</v>
      </c>
    </row>
    <row r="1375" spans="1:14" x14ac:dyDescent="0.25">
      <c r="A1375" t="e">
        <f>VLOOKUP(VALUE(RIGHT(B1375,4)),'Waste Lookups'!$B$1:$C$295,2,FALSE)</f>
        <v>#N/A</v>
      </c>
      <c r="B1375" s="74" t="s">
        <v>3444</v>
      </c>
      <c r="C1375" s="74" t="s">
        <v>3445</v>
      </c>
      <c r="D1375" s="74">
        <v>0.91303030303030297</v>
      </c>
      <c r="E1375" s="74">
        <v>11.38152</v>
      </c>
      <c r="F1375" s="74">
        <v>0</v>
      </c>
      <c r="G1375" s="74">
        <v>0.47699999999999998</v>
      </c>
      <c r="H1375" s="74">
        <v>0</v>
      </c>
      <c r="I1375" s="74"/>
      <c r="J1375" s="74">
        <v>1.5731716691393998</v>
      </c>
      <c r="K1375" s="74">
        <v>19.610613970113985</v>
      </c>
      <c r="L1375" s="74">
        <v>0</v>
      </c>
      <c r="M1375" s="74">
        <v>0.82188168748500801</v>
      </c>
      <c r="N1375" s="74">
        <v>0</v>
      </c>
    </row>
    <row r="1376" spans="1:14" x14ac:dyDescent="0.25">
      <c r="A1376" t="e">
        <f>VLOOKUP(VALUE(RIGHT(B1376,4)),'Waste Lookups'!$B$1:$C$295,2,FALSE)</f>
        <v>#N/A</v>
      </c>
      <c r="B1376" s="74" t="s">
        <v>3446</v>
      </c>
      <c r="C1376" s="74" t="s">
        <v>3447</v>
      </c>
      <c r="D1376" s="74">
        <v>0.40878787878787881</v>
      </c>
      <c r="E1376" s="74">
        <v>11.741099999999999</v>
      </c>
      <c r="F1376" s="74">
        <v>0</v>
      </c>
      <c r="G1376" s="74">
        <v>5.6112299999999999</v>
      </c>
      <c r="H1376" s="74">
        <v>0</v>
      </c>
      <c r="I1376" s="74"/>
      <c r="J1376" s="74">
        <v>0.26628377565476585</v>
      </c>
      <c r="K1376" s="74">
        <v>7.6481339114325921</v>
      </c>
      <c r="L1376" s="74">
        <v>0</v>
      </c>
      <c r="M1376" s="74">
        <v>3.6551463191564588</v>
      </c>
      <c r="N1376" s="74">
        <v>0</v>
      </c>
    </row>
    <row r="1377" spans="1:14" x14ac:dyDescent="0.25">
      <c r="A1377" t="e">
        <f>VLOOKUP(VALUE(RIGHT(B1377,4)),'Waste Lookups'!$B$1:$C$295,2,FALSE)</f>
        <v>#N/A</v>
      </c>
      <c r="B1377" s="74" t="s">
        <v>3448</v>
      </c>
      <c r="C1377" s="74" t="s">
        <v>3449</v>
      </c>
      <c r="D1377" s="74">
        <v>0.5187272727272727</v>
      </c>
      <c r="E1377" s="74">
        <v>12.263099999999998</v>
      </c>
      <c r="F1377" s="74">
        <v>0</v>
      </c>
      <c r="G1377" s="74">
        <v>8.2795500000000004</v>
      </c>
      <c r="H1377" s="74">
        <v>0</v>
      </c>
      <c r="I1377" s="74"/>
      <c r="J1377" s="74">
        <v>0.18005563193385604</v>
      </c>
      <c r="K1377" s="74">
        <v>4.2566495653082308</v>
      </c>
      <c r="L1377" s="74">
        <v>0</v>
      </c>
      <c r="M1377" s="74">
        <v>2.8739179251941001</v>
      </c>
      <c r="N1377" s="74">
        <v>0</v>
      </c>
    </row>
    <row r="1378" spans="1:14" x14ac:dyDescent="0.25">
      <c r="A1378" t="e">
        <f>VLOOKUP(VALUE(RIGHT(B1378,4)),'Waste Lookups'!$B$1:$C$295,2,FALSE)</f>
        <v>#N/A</v>
      </c>
      <c r="B1378" s="74" t="s">
        <v>3450</v>
      </c>
      <c r="C1378" s="74" t="s">
        <v>3451</v>
      </c>
      <c r="D1378" s="74">
        <v>1.896969696969697</v>
      </c>
      <c r="E1378" s="74">
        <v>7.7570999999999994</v>
      </c>
      <c r="F1378" s="74">
        <v>0</v>
      </c>
      <c r="G1378" s="74">
        <v>4.4472599999999991</v>
      </c>
      <c r="H1378" s="74">
        <v>0</v>
      </c>
      <c r="I1378" s="74"/>
      <c r="J1378" s="74">
        <v>0.63041289023162128</v>
      </c>
      <c r="K1378" s="74">
        <v>2.5778882175226587</v>
      </c>
      <c r="L1378" s="74">
        <v>0</v>
      </c>
      <c r="M1378" s="74">
        <v>1.4779413897280964</v>
      </c>
      <c r="N1378" s="74">
        <v>0</v>
      </c>
    </row>
    <row r="1379" spans="1:14" x14ac:dyDescent="0.25">
      <c r="A1379" t="e">
        <f>VLOOKUP(VALUE(RIGHT(B1379,4)),'Waste Lookups'!$B$1:$C$295,2,FALSE)</f>
        <v>#N/A</v>
      </c>
      <c r="B1379" s="74" t="s">
        <v>3452</v>
      </c>
      <c r="C1379" s="74" t="s">
        <v>3453</v>
      </c>
      <c r="D1379" s="74">
        <v>0</v>
      </c>
      <c r="E1379" s="74">
        <v>5.0764799999999992</v>
      </c>
      <c r="F1379" s="74">
        <v>0</v>
      </c>
      <c r="G1379" s="74">
        <v>0</v>
      </c>
      <c r="H1379" s="74">
        <v>0</v>
      </c>
      <c r="I1379" s="74"/>
      <c r="J1379" s="74">
        <v>0</v>
      </c>
      <c r="K1379" s="74">
        <v>4.95</v>
      </c>
      <c r="L1379" s="74">
        <v>0</v>
      </c>
      <c r="M1379" s="74">
        <v>0</v>
      </c>
      <c r="N1379" s="74">
        <v>0</v>
      </c>
    </row>
    <row r="1380" spans="1:14" x14ac:dyDescent="0.25">
      <c r="A1380" t="e">
        <f>VLOOKUP(VALUE(RIGHT(B1380,4)),'Waste Lookups'!$B$1:$C$295,2,FALSE)</f>
        <v>#N/A</v>
      </c>
      <c r="B1380" s="74" t="s">
        <v>3454</v>
      </c>
      <c r="C1380" s="74" t="s">
        <v>3455</v>
      </c>
      <c r="D1380" s="74">
        <v>0</v>
      </c>
      <c r="E1380" s="74">
        <v>0</v>
      </c>
      <c r="F1380" s="74">
        <v>0</v>
      </c>
      <c r="G1380" s="74">
        <v>0</v>
      </c>
      <c r="H1380" s="74">
        <v>12.627751528298166</v>
      </c>
      <c r="I1380" s="74"/>
      <c r="J1380" s="74">
        <v>0</v>
      </c>
      <c r="K1380" s="74">
        <v>0</v>
      </c>
      <c r="L1380" s="74">
        <v>0</v>
      </c>
      <c r="M1380" s="74">
        <v>0</v>
      </c>
      <c r="N1380" s="74">
        <v>32.920266088214028</v>
      </c>
    </row>
    <row r="1381" spans="1:14" x14ac:dyDescent="0.25">
      <c r="A1381" t="e">
        <f>VLOOKUP(VALUE(RIGHT(B1381,4)),'Waste Lookups'!$B$1:$C$295,2,FALSE)</f>
        <v>#N/A</v>
      </c>
      <c r="B1381" s="74" t="s">
        <v>3456</v>
      </c>
      <c r="C1381" s="74" t="s">
        <v>3457</v>
      </c>
      <c r="D1381" s="74">
        <v>0</v>
      </c>
      <c r="E1381" s="74">
        <v>18.6891</v>
      </c>
      <c r="F1381" s="74">
        <v>0.14330909090909091</v>
      </c>
      <c r="G1381" s="74">
        <v>0</v>
      </c>
      <c r="H1381" s="74">
        <v>0</v>
      </c>
      <c r="I1381" s="74"/>
      <c r="J1381" s="74">
        <v>0</v>
      </c>
      <c r="K1381" s="74">
        <v>18.233118426449821</v>
      </c>
      <c r="L1381" s="74">
        <v>0.13981259804550877</v>
      </c>
      <c r="M1381" s="74">
        <v>0</v>
      </c>
      <c r="N1381" s="74">
        <v>0</v>
      </c>
    </row>
    <row r="1382" spans="1:14" x14ac:dyDescent="0.25">
      <c r="A1382" t="e">
        <f>VLOOKUP(VALUE(RIGHT(B1382,4)),'Waste Lookups'!$B$1:$C$295,2,FALSE)</f>
        <v>#N/A</v>
      </c>
      <c r="B1382" s="74" t="s">
        <v>3458</v>
      </c>
      <c r="C1382" s="74" t="s">
        <v>3459</v>
      </c>
      <c r="D1382" s="74">
        <v>0</v>
      </c>
      <c r="E1382" s="74">
        <v>0</v>
      </c>
      <c r="F1382" s="74">
        <v>0.16510909090909093</v>
      </c>
      <c r="G1382" s="74">
        <v>0</v>
      </c>
      <c r="H1382" s="74">
        <v>0</v>
      </c>
      <c r="I1382" s="74"/>
      <c r="J1382" s="74">
        <v>0</v>
      </c>
      <c r="K1382" s="74">
        <v>0</v>
      </c>
      <c r="L1382" s="74">
        <v>0</v>
      </c>
      <c r="M1382" s="74">
        <v>0</v>
      </c>
      <c r="N1382" s="74">
        <v>0</v>
      </c>
    </row>
    <row r="1383" spans="1:14" x14ac:dyDescent="0.25">
      <c r="A1383" t="e">
        <f>VLOOKUP(VALUE(RIGHT(B1383,4)),'Waste Lookups'!$B$1:$C$295,2,FALSE)</f>
        <v>#N/A</v>
      </c>
      <c r="B1383" s="74" t="s">
        <v>3460</v>
      </c>
      <c r="C1383" s="74" t="s">
        <v>3461</v>
      </c>
      <c r="D1383" s="74">
        <v>0</v>
      </c>
      <c r="E1383" s="74">
        <v>26.748479999999997</v>
      </c>
      <c r="F1383" s="74">
        <v>3.272727272727273E-2</v>
      </c>
      <c r="G1383" s="74">
        <v>0</v>
      </c>
      <c r="H1383" s="74">
        <v>0</v>
      </c>
      <c r="I1383" s="74"/>
      <c r="J1383" s="74">
        <v>0</v>
      </c>
      <c r="K1383" s="74">
        <v>26.096631910064158</v>
      </c>
      <c r="L1383" s="74">
        <v>3.1929724222980828E-2</v>
      </c>
      <c r="M1383" s="74">
        <v>0</v>
      </c>
      <c r="N1383" s="74">
        <v>0</v>
      </c>
    </row>
    <row r="1384" spans="1:14" x14ac:dyDescent="0.25">
      <c r="A1384" t="e">
        <f>VLOOKUP(VALUE(RIGHT(B1384,4)),'Waste Lookups'!$B$1:$C$295,2,FALSE)</f>
        <v>#N/A</v>
      </c>
      <c r="B1384" s="74" t="s">
        <v>3462</v>
      </c>
      <c r="C1384" s="74" t="s">
        <v>3463</v>
      </c>
      <c r="D1384" s="74">
        <v>0</v>
      </c>
      <c r="E1384" s="74">
        <v>0</v>
      </c>
      <c r="F1384" s="74">
        <v>0</v>
      </c>
      <c r="G1384" s="74">
        <v>0</v>
      </c>
      <c r="H1384" s="74">
        <v>0</v>
      </c>
      <c r="I1384" s="74"/>
      <c r="J1384" s="74">
        <v>0</v>
      </c>
      <c r="K1384" s="74">
        <v>0</v>
      </c>
      <c r="L1384" s="74">
        <v>0</v>
      </c>
      <c r="M1384" s="74">
        <v>0</v>
      </c>
      <c r="N1384" s="74">
        <v>0</v>
      </c>
    </row>
    <row r="1385" spans="1:14" x14ac:dyDescent="0.25">
      <c r="A1385" t="e">
        <f>VLOOKUP(VALUE(RIGHT(B1385,4)),'Waste Lookups'!$B$1:$C$295,2,FALSE)</f>
        <v>#N/A</v>
      </c>
      <c r="B1385" s="74" t="s">
        <v>3464</v>
      </c>
      <c r="C1385" s="74" t="s">
        <v>3465</v>
      </c>
      <c r="D1385" s="74">
        <v>0.32363636363636361</v>
      </c>
      <c r="E1385" s="74">
        <v>28.56072</v>
      </c>
      <c r="F1385" s="74">
        <v>3.272727272727273E-2</v>
      </c>
      <c r="G1385" s="74">
        <v>0</v>
      </c>
      <c r="H1385" s="74">
        <v>0</v>
      </c>
      <c r="I1385" s="74"/>
      <c r="J1385" s="74">
        <v>0.31574109709063802</v>
      </c>
      <c r="K1385" s="74">
        <v>27.863967340304445</v>
      </c>
      <c r="L1385" s="74">
        <v>3.1928874986693737E-2</v>
      </c>
      <c r="M1385" s="74">
        <v>0</v>
      </c>
      <c r="N1385" s="74">
        <v>0</v>
      </c>
    </row>
    <row r="1386" spans="1:14" x14ac:dyDescent="0.25">
      <c r="A1386" t="e">
        <f>VLOOKUP(VALUE(RIGHT(B1386,4)),'Waste Lookups'!$B$1:$C$295,2,FALSE)</f>
        <v>#N/A</v>
      </c>
      <c r="B1386" s="74" t="s">
        <v>3466</v>
      </c>
      <c r="C1386" s="74" t="s">
        <v>3467</v>
      </c>
      <c r="D1386" s="74">
        <v>0</v>
      </c>
      <c r="E1386" s="74">
        <v>0</v>
      </c>
      <c r="F1386" s="74">
        <v>0.16512727272727273</v>
      </c>
      <c r="G1386" s="74">
        <v>0</v>
      </c>
      <c r="H1386" s="74">
        <v>0</v>
      </c>
      <c r="I1386" s="74"/>
      <c r="J1386" s="74">
        <v>0</v>
      </c>
      <c r="K1386" s="74">
        <v>0</v>
      </c>
      <c r="L1386" s="74">
        <v>0</v>
      </c>
      <c r="M1386" s="74">
        <v>0</v>
      </c>
      <c r="N1386" s="74">
        <v>0</v>
      </c>
    </row>
    <row r="1387" spans="1:14" x14ac:dyDescent="0.25">
      <c r="A1387" t="e">
        <f>VLOOKUP(VALUE(RIGHT(B1387,4)),'Waste Lookups'!$B$1:$C$295,2,FALSE)</f>
        <v>#N/A</v>
      </c>
      <c r="B1387" s="74" t="s">
        <v>3468</v>
      </c>
      <c r="C1387" s="74" t="s">
        <v>3469</v>
      </c>
      <c r="D1387" s="74">
        <v>0</v>
      </c>
      <c r="E1387" s="74">
        <v>20.282700000000002</v>
      </c>
      <c r="F1387" s="74">
        <v>0.22040000000000004</v>
      </c>
      <c r="G1387" s="74">
        <v>0</v>
      </c>
      <c r="H1387" s="74">
        <v>0</v>
      </c>
      <c r="I1387" s="74"/>
      <c r="J1387" s="74">
        <v>0</v>
      </c>
      <c r="K1387" s="74">
        <v>19.788887680735193</v>
      </c>
      <c r="L1387" s="74">
        <v>0.21503403614085093</v>
      </c>
      <c r="M1387" s="74">
        <v>0</v>
      </c>
      <c r="N1387" s="74">
        <v>0</v>
      </c>
    </row>
    <row r="1388" spans="1:14" x14ac:dyDescent="0.25">
      <c r="A1388" t="e">
        <f>VLOOKUP(VALUE(RIGHT(B1388,4)),'Waste Lookups'!$B$1:$C$295,2,FALSE)</f>
        <v>#N/A</v>
      </c>
      <c r="B1388" s="74" t="s">
        <v>3470</v>
      </c>
      <c r="C1388" s="74" t="s">
        <v>3471</v>
      </c>
      <c r="D1388" s="74">
        <v>0</v>
      </c>
      <c r="E1388" s="74">
        <v>1.419</v>
      </c>
      <c r="F1388" s="74">
        <v>0</v>
      </c>
      <c r="G1388" s="74">
        <v>0</v>
      </c>
      <c r="H1388" s="74">
        <v>0</v>
      </c>
      <c r="I1388" s="74"/>
      <c r="J1388" s="74">
        <v>0</v>
      </c>
      <c r="K1388" s="74">
        <v>1.3859999999999999</v>
      </c>
      <c r="L1388" s="74">
        <v>0</v>
      </c>
      <c r="M1388" s="74">
        <v>0</v>
      </c>
      <c r="N1388" s="74">
        <v>0</v>
      </c>
    </row>
    <row r="1389" spans="1:14" x14ac:dyDescent="0.25">
      <c r="A1389" t="e">
        <f>VLOOKUP(VALUE(RIGHT(B1389,4)),'Waste Lookups'!$B$1:$C$295,2,FALSE)</f>
        <v>#N/A</v>
      </c>
      <c r="B1389" s="74" t="s">
        <v>3472</v>
      </c>
      <c r="C1389" s="74" t="s">
        <v>3473</v>
      </c>
      <c r="D1389" s="74">
        <v>0</v>
      </c>
      <c r="E1389" s="74">
        <v>12.961979999999997</v>
      </c>
      <c r="F1389" s="74">
        <v>6.545454545454546E-2</v>
      </c>
      <c r="G1389" s="74">
        <v>0</v>
      </c>
      <c r="H1389" s="74">
        <v>0</v>
      </c>
      <c r="I1389" s="74"/>
      <c r="J1389" s="74">
        <v>0</v>
      </c>
      <c r="K1389" s="74">
        <v>12.648228394640148</v>
      </c>
      <c r="L1389" s="74">
        <v>6.3870183442378894E-2</v>
      </c>
      <c r="M1389" s="74">
        <v>0</v>
      </c>
      <c r="N1389" s="74">
        <v>0</v>
      </c>
    </row>
    <row r="1390" spans="1:14" x14ac:dyDescent="0.25">
      <c r="A1390" t="e">
        <f>VLOOKUP(VALUE(RIGHT(B1390,4)),'Waste Lookups'!$B$1:$C$295,2,FALSE)</f>
        <v>#N/A</v>
      </c>
      <c r="B1390" s="74" t="s">
        <v>3474</v>
      </c>
      <c r="C1390" s="74" t="s">
        <v>3475</v>
      </c>
      <c r="D1390" s="74">
        <v>0</v>
      </c>
      <c r="E1390" s="74">
        <v>15.76848</v>
      </c>
      <c r="F1390" s="74">
        <v>0</v>
      </c>
      <c r="G1390" s="74">
        <v>0</v>
      </c>
      <c r="H1390" s="74">
        <v>0</v>
      </c>
      <c r="I1390" s="74"/>
      <c r="J1390" s="74">
        <v>0</v>
      </c>
      <c r="K1390" s="74">
        <v>15.3835</v>
      </c>
      <c r="L1390" s="74">
        <v>0</v>
      </c>
      <c r="M1390" s="74">
        <v>0</v>
      </c>
      <c r="N1390" s="74">
        <v>0</v>
      </c>
    </row>
    <row r="1391" spans="1:14" x14ac:dyDescent="0.25">
      <c r="A1391" t="e">
        <f>VLOOKUP(VALUE(RIGHT(B1391,4)),'Waste Lookups'!$B$1:$C$295,2,FALSE)</f>
        <v>#N/A</v>
      </c>
      <c r="B1391" s="74" t="s">
        <v>3476</v>
      </c>
      <c r="C1391" s="74" t="s">
        <v>3477</v>
      </c>
      <c r="D1391" s="74">
        <v>5.364727272727273</v>
      </c>
      <c r="E1391" s="74">
        <v>10.3332</v>
      </c>
      <c r="F1391" s="74">
        <v>0</v>
      </c>
      <c r="G1391" s="74">
        <v>0</v>
      </c>
      <c r="H1391" s="74">
        <v>0</v>
      </c>
      <c r="I1391" s="74"/>
      <c r="J1391" s="74">
        <v>7.1253336979178599</v>
      </c>
      <c r="K1391" s="74">
        <v>13.724369278122639</v>
      </c>
      <c r="L1391" s="74">
        <v>0</v>
      </c>
      <c r="M1391" s="74">
        <v>0</v>
      </c>
      <c r="N1391" s="74">
        <v>0</v>
      </c>
    </row>
    <row r="1392" spans="1:14" x14ac:dyDescent="0.25">
      <c r="A1392" t="e">
        <f>VLOOKUP(VALUE(RIGHT(B1392,4)),'Waste Lookups'!$B$1:$C$295,2,FALSE)</f>
        <v>#N/A</v>
      </c>
      <c r="B1392" s="74" t="s">
        <v>3478</v>
      </c>
      <c r="C1392" s="74" t="s">
        <v>3479</v>
      </c>
      <c r="D1392" s="74">
        <v>2.602727272727273</v>
      </c>
      <c r="E1392" s="74">
        <v>0</v>
      </c>
      <c r="F1392" s="74">
        <v>0</v>
      </c>
      <c r="G1392" s="74">
        <v>0</v>
      </c>
      <c r="H1392" s="74">
        <v>0</v>
      </c>
      <c r="I1392" s="74"/>
      <c r="J1392" s="74">
        <v>0</v>
      </c>
      <c r="K1392" s="74">
        <v>0</v>
      </c>
      <c r="L1392" s="74">
        <v>0</v>
      </c>
      <c r="M1392" s="74">
        <v>0</v>
      </c>
      <c r="N1392" s="74">
        <v>0</v>
      </c>
    </row>
    <row r="1393" spans="1:14" x14ac:dyDescent="0.25">
      <c r="A1393" t="e">
        <f>VLOOKUP(VALUE(RIGHT(B1393,4)),'Waste Lookups'!$B$1:$C$295,2,FALSE)</f>
        <v>#N/A</v>
      </c>
      <c r="B1393" s="74" t="s">
        <v>3480</v>
      </c>
      <c r="C1393" s="74" t="s">
        <v>3481</v>
      </c>
      <c r="D1393" s="74">
        <v>6.8271818181818178</v>
      </c>
      <c r="E1393" s="74">
        <v>0.36</v>
      </c>
      <c r="F1393" s="74">
        <v>0</v>
      </c>
      <c r="G1393" s="74">
        <v>0</v>
      </c>
      <c r="H1393" s="74">
        <v>0</v>
      </c>
      <c r="I1393" s="74"/>
      <c r="J1393" s="74">
        <v>5.4995118992031893</v>
      </c>
      <c r="K1393" s="74">
        <v>0.28999143957768586</v>
      </c>
      <c r="L1393" s="74">
        <v>0</v>
      </c>
      <c r="M1393" s="74">
        <v>0</v>
      </c>
      <c r="N1393" s="74">
        <v>0</v>
      </c>
    </row>
    <row r="1394" spans="1:14" x14ac:dyDescent="0.25">
      <c r="A1394" t="e">
        <f>VLOOKUP(VALUE(RIGHT(B1394,4)),'Waste Lookups'!$B$1:$C$295,2,FALSE)</f>
        <v>#N/A</v>
      </c>
      <c r="B1394" s="74" t="s">
        <v>3482</v>
      </c>
      <c r="C1394" s="74" t="s">
        <v>3483</v>
      </c>
      <c r="D1394" s="74">
        <v>116.87827272727273</v>
      </c>
      <c r="E1394" s="74">
        <v>5.9246400000000001</v>
      </c>
      <c r="F1394" s="74">
        <v>9.39090909090909E-2</v>
      </c>
      <c r="G1394" s="74">
        <v>4.9900500000000001</v>
      </c>
      <c r="H1394" s="74">
        <v>0</v>
      </c>
      <c r="I1394" s="74"/>
      <c r="J1394" s="74">
        <v>2.3552201784652698</v>
      </c>
      <c r="K1394" s="74">
        <v>0.11938773009336617</v>
      </c>
      <c r="L1394" s="74">
        <v>1.8923669959302056E-3</v>
      </c>
      <c r="M1394" s="74">
        <v>0.10055475818824466</v>
      </c>
      <c r="N1394" s="74">
        <v>0</v>
      </c>
    </row>
    <row r="1395" spans="1:14" x14ac:dyDescent="0.25">
      <c r="A1395" t="e">
        <f>VLOOKUP(VALUE(RIGHT(B1395,4)),'Waste Lookups'!$B$1:$C$295,2,FALSE)</f>
        <v>#N/A</v>
      </c>
      <c r="B1395" s="74" t="s">
        <v>3484</v>
      </c>
      <c r="C1395" s="74" t="s">
        <v>3485</v>
      </c>
      <c r="D1395" s="74">
        <v>0</v>
      </c>
      <c r="E1395" s="74">
        <v>2.2986599999999999</v>
      </c>
      <c r="F1395" s="74">
        <v>0</v>
      </c>
      <c r="G1395" s="74">
        <v>0</v>
      </c>
      <c r="H1395" s="74">
        <v>0</v>
      </c>
      <c r="I1395" s="74"/>
      <c r="J1395" s="74">
        <v>0</v>
      </c>
      <c r="K1395" s="74">
        <v>0.54240999999999995</v>
      </c>
      <c r="L1395" s="74">
        <v>0</v>
      </c>
      <c r="M1395" s="74">
        <v>0</v>
      </c>
      <c r="N1395" s="74">
        <v>0</v>
      </c>
    </row>
    <row r="1396" spans="1:14" x14ac:dyDescent="0.25">
      <c r="A1396" t="e">
        <f>VLOOKUP(VALUE(RIGHT(B1396,4)),'Waste Lookups'!$B$1:$C$295,2,FALSE)</f>
        <v>#N/A</v>
      </c>
      <c r="B1396" s="74" t="s">
        <v>3486</v>
      </c>
      <c r="C1396" s="74" t="s">
        <v>3487</v>
      </c>
      <c r="D1396" s="74">
        <v>2.2944242424242427</v>
      </c>
      <c r="E1396" s="74">
        <v>6.4068599999999991</v>
      </c>
      <c r="F1396" s="74">
        <v>0</v>
      </c>
      <c r="G1396" s="74">
        <v>2.0491199999999998</v>
      </c>
      <c r="H1396" s="74">
        <v>0</v>
      </c>
      <c r="I1396" s="74"/>
      <c r="J1396" s="74">
        <v>1.8091819907599123</v>
      </c>
      <c r="K1396" s="74">
        <v>5.0518886241687575</v>
      </c>
      <c r="L1396" s="74">
        <v>0</v>
      </c>
      <c r="M1396" s="74">
        <v>1.6157565511899254</v>
      </c>
      <c r="N1396" s="74">
        <v>0</v>
      </c>
    </row>
    <row r="1397" spans="1:14" x14ac:dyDescent="0.25">
      <c r="A1397" t="e">
        <f>VLOOKUP(VALUE(RIGHT(B1397,4)),'Waste Lookups'!$B$1:$C$295,2,FALSE)</f>
        <v>#N/A</v>
      </c>
      <c r="B1397" s="74" t="s">
        <v>3488</v>
      </c>
      <c r="C1397" s="74" t="s">
        <v>3489</v>
      </c>
      <c r="D1397" s="74">
        <v>0</v>
      </c>
      <c r="E1397" s="74">
        <v>4.9349399999999992</v>
      </c>
      <c r="F1397" s="74">
        <v>0</v>
      </c>
      <c r="G1397" s="74">
        <v>3.1896</v>
      </c>
      <c r="H1397" s="74">
        <v>0</v>
      </c>
      <c r="I1397" s="74"/>
      <c r="J1397" s="74">
        <v>0</v>
      </c>
      <c r="K1397" s="74">
        <v>1.8462013828395174</v>
      </c>
      <c r="L1397" s="74">
        <v>0</v>
      </c>
      <c r="M1397" s="74">
        <v>1.1932554257407233</v>
      </c>
      <c r="N1397" s="74">
        <v>0</v>
      </c>
    </row>
    <row r="1398" spans="1:14" x14ac:dyDescent="0.25">
      <c r="A1398" t="e">
        <f>VLOOKUP(VALUE(RIGHT(B1398,4)),'Waste Lookups'!$B$1:$C$295,2,FALSE)</f>
        <v>#N/A</v>
      </c>
      <c r="B1398" s="74" t="s">
        <v>3490</v>
      </c>
      <c r="C1398" s="74" t="s">
        <v>3491</v>
      </c>
      <c r="D1398" s="74">
        <v>1.8181818181818181E-4</v>
      </c>
      <c r="E1398" s="74">
        <v>15.038400000000001</v>
      </c>
      <c r="F1398" s="74">
        <v>0</v>
      </c>
      <c r="G1398" s="74">
        <v>5.6504700000000003</v>
      </c>
      <c r="H1398" s="74">
        <v>0</v>
      </c>
      <c r="I1398" s="74"/>
      <c r="J1398" s="74">
        <v>1.2520804818103406E-4</v>
      </c>
      <c r="K1398" s="74">
        <v>10.356107914711147</v>
      </c>
      <c r="L1398" s="74">
        <v>0</v>
      </c>
      <c r="M1398" s="74">
        <v>3.8911637600301829</v>
      </c>
      <c r="N1398" s="74">
        <v>0</v>
      </c>
    </row>
    <row r="1399" spans="1:14" x14ac:dyDescent="0.25">
      <c r="A1399" t="e">
        <f>VLOOKUP(VALUE(RIGHT(B1399,4)),'Waste Lookups'!$B$1:$C$295,2,FALSE)</f>
        <v>#N/A</v>
      </c>
      <c r="B1399" s="74" t="s">
        <v>3492</v>
      </c>
      <c r="C1399" s="74" t="s">
        <v>3493</v>
      </c>
      <c r="D1399" s="74">
        <v>0</v>
      </c>
      <c r="E1399" s="74">
        <v>4.6092000000000004</v>
      </c>
      <c r="F1399" s="74">
        <v>0</v>
      </c>
      <c r="G1399" s="74">
        <v>5.5053900000000002</v>
      </c>
      <c r="H1399" s="74">
        <v>0</v>
      </c>
      <c r="I1399" s="74"/>
      <c r="J1399" s="74">
        <v>0</v>
      </c>
      <c r="K1399" s="74">
        <v>6.74232156662391</v>
      </c>
      <c r="L1399" s="74">
        <v>0</v>
      </c>
      <c r="M1399" s="74">
        <v>8.053265150064135</v>
      </c>
      <c r="N1399" s="74">
        <v>0</v>
      </c>
    </row>
    <row r="1400" spans="1:14" x14ac:dyDescent="0.25">
      <c r="A1400" t="e">
        <f>VLOOKUP(VALUE(RIGHT(B1400,4)),'Waste Lookups'!$B$1:$C$295,2,FALSE)</f>
        <v>#N/A</v>
      </c>
      <c r="B1400" s="74" t="s">
        <v>3494</v>
      </c>
      <c r="C1400" s="74" t="s">
        <v>3495</v>
      </c>
      <c r="D1400" s="74">
        <v>61.278787878787881</v>
      </c>
      <c r="E1400" s="74">
        <v>7.3014000000000001</v>
      </c>
      <c r="F1400" s="74">
        <v>0</v>
      </c>
      <c r="G1400" s="74">
        <v>17.506709999999998</v>
      </c>
      <c r="H1400" s="74">
        <v>0</v>
      </c>
      <c r="I1400" s="74"/>
      <c r="J1400" s="74">
        <v>4.9967958817773583</v>
      </c>
      <c r="K1400" s="74">
        <v>0.59537087325185645</v>
      </c>
      <c r="L1400" s="74">
        <v>0</v>
      </c>
      <c r="M1400" s="74">
        <v>1.427532421243461</v>
      </c>
      <c r="N1400" s="74">
        <v>0</v>
      </c>
    </row>
    <row r="1401" spans="1:14" x14ac:dyDescent="0.25">
      <c r="A1401" t="e">
        <f>VLOOKUP(VALUE(RIGHT(B1401,4)),'Waste Lookups'!$B$1:$C$295,2,FALSE)</f>
        <v>#N/A</v>
      </c>
      <c r="B1401" s="74" t="s">
        <v>3496</v>
      </c>
      <c r="C1401" s="74" t="s">
        <v>3497</v>
      </c>
      <c r="D1401" s="74">
        <v>5.3338181818181827</v>
      </c>
      <c r="E1401" s="74">
        <v>9.1708799999999986</v>
      </c>
      <c r="F1401" s="74">
        <v>0</v>
      </c>
      <c r="G1401" s="74">
        <v>34.637399999999992</v>
      </c>
      <c r="H1401" s="74">
        <v>0</v>
      </c>
      <c r="I1401" s="74"/>
      <c r="J1401" s="74">
        <v>2.2194374445397198</v>
      </c>
      <c r="K1401" s="74">
        <v>3.8160645484248819</v>
      </c>
      <c r="L1401" s="74">
        <v>0</v>
      </c>
      <c r="M1401" s="74">
        <v>14.412853967079709</v>
      </c>
      <c r="N1401" s="74">
        <v>0</v>
      </c>
    </row>
    <row r="1402" spans="1:14" x14ac:dyDescent="0.25">
      <c r="A1402" t="e">
        <f>VLOOKUP(VALUE(RIGHT(B1402,4)),'Waste Lookups'!$B$1:$C$295,2,FALSE)</f>
        <v>#N/A</v>
      </c>
      <c r="B1402" s="74" t="s">
        <v>3498</v>
      </c>
      <c r="C1402" s="74" t="s">
        <v>3499</v>
      </c>
      <c r="D1402" s="74">
        <v>2.6870303030303031</v>
      </c>
      <c r="E1402" s="74">
        <v>0</v>
      </c>
      <c r="F1402" s="74">
        <v>0</v>
      </c>
      <c r="G1402" s="74">
        <v>0</v>
      </c>
      <c r="H1402" s="74">
        <v>0</v>
      </c>
      <c r="I1402" s="74"/>
      <c r="J1402" s="74">
        <v>1.4716666666666665</v>
      </c>
      <c r="K1402" s="74">
        <v>0</v>
      </c>
      <c r="L1402" s="74">
        <v>0</v>
      </c>
      <c r="M1402" s="74">
        <v>0</v>
      </c>
      <c r="N1402" s="74">
        <v>0</v>
      </c>
    </row>
    <row r="1403" spans="1:14" x14ac:dyDescent="0.25">
      <c r="A1403" t="e">
        <f>VLOOKUP(VALUE(RIGHT(B1403,4)),'Waste Lookups'!$B$1:$C$295,2,FALSE)</f>
        <v>#N/A</v>
      </c>
      <c r="B1403" s="74" t="s">
        <v>3500</v>
      </c>
      <c r="C1403" s="74" t="s">
        <v>3501</v>
      </c>
      <c r="D1403" s="74">
        <v>0</v>
      </c>
      <c r="E1403" s="74">
        <v>5.0620199999999995</v>
      </c>
      <c r="F1403" s="74">
        <v>3.272727272727273E-2</v>
      </c>
      <c r="G1403" s="74">
        <v>0</v>
      </c>
      <c r="H1403" s="74">
        <v>0</v>
      </c>
      <c r="I1403" s="74"/>
      <c r="J1403" s="74">
        <v>0</v>
      </c>
      <c r="K1403" s="74">
        <v>4.9381429607622414</v>
      </c>
      <c r="L1403" s="74">
        <v>3.1926375526593713E-2</v>
      </c>
      <c r="M1403" s="74">
        <v>0</v>
      </c>
      <c r="N1403" s="74">
        <v>0</v>
      </c>
    </row>
    <row r="1404" spans="1:14" x14ac:dyDescent="0.25">
      <c r="A1404" t="e">
        <f>VLOOKUP(VALUE(RIGHT(B1404,4)),'Waste Lookups'!$B$1:$C$295,2,FALSE)</f>
        <v>#N/A</v>
      </c>
      <c r="B1404" s="74" t="s">
        <v>3502</v>
      </c>
      <c r="C1404" s="74" t="s">
        <v>3503</v>
      </c>
      <c r="D1404" s="74">
        <v>0</v>
      </c>
      <c r="E1404" s="74">
        <v>0</v>
      </c>
      <c r="F1404" s="74">
        <v>3.272727272727273E-2</v>
      </c>
      <c r="G1404" s="74">
        <v>0</v>
      </c>
      <c r="H1404" s="74">
        <v>0</v>
      </c>
      <c r="I1404" s="74"/>
      <c r="J1404" s="74">
        <v>0</v>
      </c>
      <c r="K1404" s="74">
        <v>0</v>
      </c>
      <c r="L1404" s="74">
        <v>0</v>
      </c>
      <c r="M1404" s="74">
        <v>0</v>
      </c>
      <c r="N1404" s="74">
        <v>0</v>
      </c>
    </row>
    <row r="1405" spans="1:14" x14ac:dyDescent="0.25">
      <c r="A1405" t="e">
        <f>VLOOKUP(VALUE(RIGHT(B1405,4)),'Waste Lookups'!$B$1:$C$295,2,FALSE)</f>
        <v>#N/A</v>
      </c>
      <c r="B1405" s="74" t="s">
        <v>3504</v>
      </c>
      <c r="C1405" s="74" t="s">
        <v>3505</v>
      </c>
      <c r="D1405" s="74">
        <v>0.23824242424242426</v>
      </c>
      <c r="E1405" s="74">
        <v>0</v>
      </c>
      <c r="F1405" s="74">
        <v>0</v>
      </c>
      <c r="G1405" s="74">
        <v>0</v>
      </c>
      <c r="H1405" s="74">
        <v>0</v>
      </c>
      <c r="I1405" s="74"/>
      <c r="J1405" s="74">
        <v>0.93286111111111114</v>
      </c>
      <c r="K1405" s="74">
        <v>0</v>
      </c>
      <c r="L1405" s="74">
        <v>0</v>
      </c>
      <c r="M1405" s="74">
        <v>0</v>
      </c>
      <c r="N1405" s="74">
        <v>0</v>
      </c>
    </row>
    <row r="1406" spans="1:14" x14ac:dyDescent="0.25">
      <c r="A1406" t="e">
        <f>VLOOKUP(VALUE(RIGHT(B1406,4)),'Waste Lookups'!$B$1:$C$295,2,FALSE)</f>
        <v>#N/A</v>
      </c>
      <c r="B1406" s="74" t="s">
        <v>3506</v>
      </c>
      <c r="C1406" s="74" t="s">
        <v>3507</v>
      </c>
      <c r="D1406" s="74">
        <v>1.4447878787878787</v>
      </c>
      <c r="E1406" s="74">
        <v>12.13494</v>
      </c>
      <c r="F1406" s="74">
        <v>0</v>
      </c>
      <c r="G1406" s="74">
        <v>4.4819100000000001</v>
      </c>
      <c r="H1406" s="74">
        <v>0</v>
      </c>
      <c r="I1406" s="74"/>
      <c r="J1406" s="74">
        <v>0.83120839385156953</v>
      </c>
      <c r="K1406" s="74">
        <v>6.9814151509545388</v>
      </c>
      <c r="L1406" s="74">
        <v>0</v>
      </c>
      <c r="M1406" s="74">
        <v>2.5785108438290298</v>
      </c>
      <c r="N1406" s="74">
        <v>0</v>
      </c>
    </row>
    <row r="1407" spans="1:14" x14ac:dyDescent="0.25">
      <c r="A1407" t="e">
        <f>VLOOKUP(VALUE(RIGHT(B1407,4)),'Waste Lookups'!$B$1:$C$295,2,FALSE)</f>
        <v>#N/A</v>
      </c>
      <c r="B1407" s="74" t="s">
        <v>3508</v>
      </c>
      <c r="C1407" s="74" t="s">
        <v>3509</v>
      </c>
      <c r="D1407" s="74">
        <v>2.3818181818181818</v>
      </c>
      <c r="E1407" s="74">
        <v>0</v>
      </c>
      <c r="F1407" s="74">
        <v>0</v>
      </c>
      <c r="G1407" s="74">
        <v>0</v>
      </c>
      <c r="H1407" s="74">
        <v>0</v>
      </c>
      <c r="I1407" s="74"/>
      <c r="J1407" s="74">
        <v>0</v>
      </c>
      <c r="K1407" s="74">
        <v>0</v>
      </c>
      <c r="L1407" s="74">
        <v>0</v>
      </c>
      <c r="M1407" s="74">
        <v>0</v>
      </c>
      <c r="N1407" s="74">
        <v>0</v>
      </c>
    </row>
    <row r="1408" spans="1:14" x14ac:dyDescent="0.25">
      <c r="A1408" t="e">
        <f>VLOOKUP(VALUE(RIGHT(B1408,4)),'Waste Lookups'!$B$1:$C$295,2,FALSE)</f>
        <v>#N/A</v>
      </c>
      <c r="B1408" s="74" t="s">
        <v>3510</v>
      </c>
      <c r="C1408" s="74" t="s">
        <v>3511</v>
      </c>
      <c r="D1408" s="74">
        <v>0.65636363636363648</v>
      </c>
      <c r="E1408" s="74">
        <v>0</v>
      </c>
      <c r="F1408" s="74">
        <v>0</v>
      </c>
      <c r="G1408" s="74">
        <v>0</v>
      </c>
      <c r="H1408" s="74">
        <v>0</v>
      </c>
      <c r="I1408" s="74"/>
      <c r="J1408" s="74">
        <v>2.2673055555555557</v>
      </c>
      <c r="K1408" s="74">
        <v>0</v>
      </c>
      <c r="L1408" s="74">
        <v>0</v>
      </c>
      <c r="M1408" s="74">
        <v>0</v>
      </c>
      <c r="N1408" s="74">
        <v>0</v>
      </c>
    </row>
    <row r="1409" spans="1:14" x14ac:dyDescent="0.25">
      <c r="A1409" t="e">
        <f>VLOOKUP(VALUE(RIGHT(B1409,4)),'Waste Lookups'!$B$1:$C$295,2,FALSE)</f>
        <v>#N/A</v>
      </c>
      <c r="B1409" s="74" t="s">
        <v>3512</v>
      </c>
      <c r="C1409" s="74" t="s">
        <v>3513</v>
      </c>
      <c r="D1409" s="74">
        <v>2.5911515151515152</v>
      </c>
      <c r="E1409" s="74">
        <v>5.7604200000000008</v>
      </c>
      <c r="F1409" s="74">
        <v>3.9272727272727279E-2</v>
      </c>
      <c r="G1409" s="74">
        <v>5.4788399999999999</v>
      </c>
      <c r="H1409" s="74">
        <v>0</v>
      </c>
      <c r="I1409" s="74"/>
      <c r="J1409" s="74">
        <v>1.114926985918411</v>
      </c>
      <c r="K1409" s="74">
        <v>2.4786075498362306</v>
      </c>
      <c r="L1409" s="74">
        <v>1.6898364758271282E-2</v>
      </c>
      <c r="M1409" s="74">
        <v>2.3574486215145307</v>
      </c>
      <c r="N1409" s="74">
        <v>0</v>
      </c>
    </row>
    <row r="1410" spans="1:14" x14ac:dyDescent="0.25">
      <c r="A1410" t="e">
        <f>VLOOKUP(VALUE(RIGHT(B1410,4)),'Waste Lookups'!$B$1:$C$295,2,FALSE)</f>
        <v>#N/A</v>
      </c>
      <c r="B1410" s="74" t="s">
        <v>3514</v>
      </c>
      <c r="C1410" s="74" t="s">
        <v>3515</v>
      </c>
      <c r="D1410" s="74">
        <v>0.68733333333333335</v>
      </c>
      <c r="E1410" s="74">
        <v>4.0454999999999997</v>
      </c>
      <c r="F1410" s="74">
        <v>0</v>
      </c>
      <c r="G1410" s="74">
        <v>6.901650000000001</v>
      </c>
      <c r="H1410" s="74">
        <v>0</v>
      </c>
      <c r="I1410" s="74"/>
      <c r="J1410" s="74">
        <v>0.3598930580869853</v>
      </c>
      <c r="K1410" s="74">
        <v>2.1182551403844307</v>
      </c>
      <c r="L1410" s="74">
        <v>0</v>
      </c>
      <c r="M1410" s="74">
        <v>3.613757406905008</v>
      </c>
      <c r="N1410" s="74">
        <v>0</v>
      </c>
    </row>
    <row r="1411" spans="1:14" x14ac:dyDescent="0.25">
      <c r="A1411" t="e">
        <f>VLOOKUP(VALUE(RIGHT(B1411,4)),'Waste Lookups'!$B$1:$C$295,2,FALSE)</f>
        <v>#N/A</v>
      </c>
      <c r="B1411" s="74" t="s">
        <v>3516</v>
      </c>
      <c r="C1411" s="74" t="s">
        <v>3517</v>
      </c>
      <c r="D1411" s="74">
        <v>2.5763030303030301</v>
      </c>
      <c r="E1411" s="74">
        <v>2.6917799999999996</v>
      </c>
      <c r="F1411" s="74">
        <v>0</v>
      </c>
      <c r="G1411" s="74">
        <v>0</v>
      </c>
      <c r="H1411" s="74">
        <v>0</v>
      </c>
      <c r="I1411" s="74"/>
      <c r="J1411" s="74">
        <v>11.242713337165902</v>
      </c>
      <c r="K1411" s="74">
        <v>11.746642592411513</v>
      </c>
      <c r="L1411" s="74">
        <v>0</v>
      </c>
      <c r="M1411" s="74">
        <v>0</v>
      </c>
      <c r="N1411" s="74">
        <v>0</v>
      </c>
    </row>
    <row r="1412" spans="1:14" x14ac:dyDescent="0.25">
      <c r="A1412" t="e">
        <f>VLOOKUP(VALUE(RIGHT(B1412,4)),'Waste Lookups'!$B$1:$C$295,2,FALSE)</f>
        <v>#N/A</v>
      </c>
      <c r="B1412" s="74" t="s">
        <v>3518</v>
      </c>
      <c r="C1412" s="74" t="s">
        <v>3519</v>
      </c>
      <c r="D1412" s="74">
        <v>5.454545454545455E-2</v>
      </c>
      <c r="E1412" s="74">
        <v>0</v>
      </c>
      <c r="F1412" s="74">
        <v>0</v>
      </c>
      <c r="G1412" s="74">
        <v>0</v>
      </c>
      <c r="H1412" s="74">
        <v>0</v>
      </c>
      <c r="I1412" s="74"/>
      <c r="J1412" s="74">
        <v>0.05</v>
      </c>
      <c r="K1412" s="74">
        <v>0</v>
      </c>
      <c r="L1412" s="74">
        <v>0</v>
      </c>
      <c r="M1412" s="74">
        <v>0</v>
      </c>
      <c r="N1412" s="74">
        <v>0</v>
      </c>
    </row>
    <row r="1413" spans="1:14" x14ac:dyDescent="0.25">
      <c r="A1413" t="e">
        <f>VLOOKUP(VALUE(RIGHT(B1413,4)),'Waste Lookups'!$B$1:$C$295,2,FALSE)</f>
        <v>#N/A</v>
      </c>
      <c r="B1413" s="74" t="s">
        <v>3520</v>
      </c>
      <c r="C1413" s="74" t="s">
        <v>3521</v>
      </c>
      <c r="D1413" s="74">
        <v>5.454545454545455E-2</v>
      </c>
      <c r="E1413" s="74">
        <v>0</v>
      </c>
      <c r="F1413" s="74">
        <v>0</v>
      </c>
      <c r="G1413" s="74">
        <v>0</v>
      </c>
      <c r="H1413" s="74">
        <v>0</v>
      </c>
      <c r="I1413" s="74"/>
      <c r="J1413" s="74">
        <v>-0.14644444444444446</v>
      </c>
      <c r="K1413" s="74">
        <v>0</v>
      </c>
      <c r="L1413" s="74">
        <v>0</v>
      </c>
      <c r="M1413" s="74">
        <v>0</v>
      </c>
      <c r="N1413" s="74">
        <v>0</v>
      </c>
    </row>
    <row r="1414" spans="1:14" x14ac:dyDescent="0.25">
      <c r="A1414" t="e">
        <f>VLOOKUP(VALUE(RIGHT(B1414,4)),'Waste Lookups'!$B$1:$C$295,2,FALSE)</f>
        <v>#N/A</v>
      </c>
      <c r="B1414" s="74" t="s">
        <v>3522</v>
      </c>
      <c r="C1414" s="74" t="s">
        <v>3523</v>
      </c>
      <c r="D1414" s="74">
        <v>9.3915151515151525</v>
      </c>
      <c r="E1414" s="74">
        <v>6.2952000000000004</v>
      </c>
      <c r="F1414" s="74">
        <v>0</v>
      </c>
      <c r="G1414" s="74">
        <v>0</v>
      </c>
      <c r="H1414" s="74">
        <v>0</v>
      </c>
      <c r="I1414" s="74"/>
      <c r="J1414" s="74">
        <v>10.041669977179955</v>
      </c>
      <c r="K1414" s="74">
        <v>6.7310034451836858</v>
      </c>
      <c r="L1414" s="74">
        <v>0</v>
      </c>
      <c r="M1414" s="74">
        <v>0</v>
      </c>
      <c r="N1414" s="74">
        <v>0</v>
      </c>
    </row>
    <row r="1415" spans="1:14" x14ac:dyDescent="0.25">
      <c r="A1415" t="e">
        <f>VLOOKUP(VALUE(RIGHT(B1415,4)),'Waste Lookups'!$B$1:$C$295,2,FALSE)</f>
        <v>#N/A</v>
      </c>
      <c r="B1415" s="74" t="s">
        <v>3524</v>
      </c>
      <c r="C1415" s="74" t="s">
        <v>3525</v>
      </c>
      <c r="D1415" s="74">
        <v>8.1178484848484853</v>
      </c>
      <c r="E1415" s="74">
        <v>5.1479999999999997</v>
      </c>
      <c r="F1415" s="74">
        <v>0</v>
      </c>
      <c r="G1415" s="74">
        <v>5.73156</v>
      </c>
      <c r="H1415" s="74">
        <v>0</v>
      </c>
      <c r="I1415" s="74"/>
      <c r="J1415" s="74">
        <v>7.9232623109305091</v>
      </c>
      <c r="K1415" s="74">
        <v>5.0246015865904123</v>
      </c>
      <c r="L1415" s="74">
        <v>0</v>
      </c>
      <c r="M1415" s="74">
        <v>5.5941735566507651</v>
      </c>
      <c r="N1415" s="74">
        <v>0</v>
      </c>
    </row>
    <row r="1416" spans="1:14" x14ac:dyDescent="0.25">
      <c r="A1416" t="e">
        <f>VLOOKUP(VALUE(RIGHT(B1416,4)),'Waste Lookups'!$B$1:$C$295,2,FALSE)</f>
        <v>#N/A</v>
      </c>
      <c r="B1416" s="74" t="s">
        <v>3526</v>
      </c>
      <c r="C1416" s="74" t="s">
        <v>3527</v>
      </c>
      <c r="D1416" s="74">
        <v>5.454545454545455E-2</v>
      </c>
      <c r="E1416" s="74">
        <v>12.410399999999999</v>
      </c>
      <c r="F1416" s="74">
        <v>0</v>
      </c>
      <c r="G1416" s="74">
        <v>0</v>
      </c>
      <c r="H1416" s="74">
        <v>0</v>
      </c>
      <c r="I1416" s="74"/>
      <c r="J1416" s="74">
        <v>4.6759969325153375E-2</v>
      </c>
      <c r="K1416" s="74">
        <v>10.639015260736196</v>
      </c>
      <c r="L1416" s="74">
        <v>0</v>
      </c>
      <c r="M1416" s="74">
        <v>0</v>
      </c>
      <c r="N1416" s="74">
        <v>0</v>
      </c>
    </row>
    <row r="1417" spans="1:14" x14ac:dyDescent="0.25">
      <c r="A1417" t="e">
        <f>VLOOKUP(VALUE(RIGHT(B1417,4)),'Waste Lookups'!$B$1:$C$295,2,FALSE)</f>
        <v>#N/A</v>
      </c>
      <c r="B1417" s="74" t="s">
        <v>3528</v>
      </c>
      <c r="C1417" s="74" t="s">
        <v>3529</v>
      </c>
      <c r="D1417" s="74">
        <v>14.153757575757576</v>
      </c>
      <c r="E1417" s="74">
        <v>10.295999999999999</v>
      </c>
      <c r="F1417" s="74">
        <v>0</v>
      </c>
      <c r="G1417" s="74">
        <v>5.73156</v>
      </c>
      <c r="H1417" s="74">
        <v>0</v>
      </c>
      <c r="I1417" s="74"/>
      <c r="J1417" s="74">
        <v>8.3476108428876561</v>
      </c>
      <c r="K1417" s="74">
        <v>6.0723804811791133</v>
      </c>
      <c r="L1417" s="74">
        <v>0</v>
      </c>
      <c r="M1417" s="74">
        <v>3.3803625748549884</v>
      </c>
      <c r="N1417" s="74">
        <v>0</v>
      </c>
    </row>
    <row r="1418" spans="1:14" x14ac:dyDescent="0.25">
      <c r="A1418" t="e">
        <f>VLOOKUP(VALUE(RIGHT(B1418,4)),'Waste Lookups'!$B$1:$C$295,2,FALSE)</f>
        <v>#N/A</v>
      </c>
      <c r="B1418" s="74" t="s">
        <v>3530</v>
      </c>
      <c r="C1418" s="74" t="s">
        <v>3531</v>
      </c>
      <c r="D1418" s="74">
        <v>7.4097878787878786</v>
      </c>
      <c r="E1418" s="74">
        <v>16.311420000000002</v>
      </c>
      <c r="F1418" s="74">
        <v>0</v>
      </c>
      <c r="G1418" s="74">
        <v>1.4416200000000001</v>
      </c>
      <c r="H1418" s="74">
        <v>0</v>
      </c>
      <c r="I1418" s="74"/>
      <c r="J1418" s="74">
        <v>4.6612053029145688</v>
      </c>
      <c r="K1418" s="74">
        <v>10.260870978469113</v>
      </c>
      <c r="L1418" s="74">
        <v>0</v>
      </c>
      <c r="M1418" s="74">
        <v>0.90686628264005487</v>
      </c>
      <c r="N1418" s="74">
        <v>0</v>
      </c>
    </row>
    <row r="1419" spans="1:14" x14ac:dyDescent="0.25">
      <c r="A1419" t="e">
        <f>VLOOKUP(VALUE(RIGHT(B1419,4)),'Waste Lookups'!$B$1:$C$295,2,FALSE)</f>
        <v>#N/A</v>
      </c>
      <c r="B1419" s="74" t="s">
        <v>3532</v>
      </c>
      <c r="C1419" s="74" t="s">
        <v>3533</v>
      </c>
      <c r="D1419" s="74">
        <v>5.454545454545455E-2</v>
      </c>
      <c r="E1419" s="74">
        <v>5.3280000000000003</v>
      </c>
      <c r="F1419" s="74">
        <v>0</v>
      </c>
      <c r="G1419" s="74">
        <v>0</v>
      </c>
      <c r="H1419" s="74">
        <v>0</v>
      </c>
      <c r="I1419" s="74"/>
      <c r="J1419" s="74">
        <v>4.5695364238410606E-2</v>
      </c>
      <c r="K1419" s="74">
        <v>4.4635231788079475</v>
      </c>
      <c r="L1419" s="74">
        <v>0</v>
      </c>
      <c r="M1419" s="74">
        <v>0</v>
      </c>
      <c r="N1419" s="74">
        <v>0</v>
      </c>
    </row>
    <row r="1420" spans="1:14" x14ac:dyDescent="0.25">
      <c r="A1420" t="e">
        <f>VLOOKUP(VALUE(RIGHT(B1420,4)),'Waste Lookups'!$B$1:$C$295,2,FALSE)</f>
        <v>#N/A</v>
      </c>
      <c r="B1420" s="74" t="s">
        <v>3534</v>
      </c>
      <c r="C1420" s="74" t="s">
        <v>3535</v>
      </c>
      <c r="D1420" s="74">
        <v>9.1126969696969695</v>
      </c>
      <c r="E1420" s="74">
        <v>20.771999999999998</v>
      </c>
      <c r="F1420" s="74">
        <v>0</v>
      </c>
      <c r="G1420" s="74">
        <v>11.133179999999999</v>
      </c>
      <c r="H1420" s="74">
        <v>0</v>
      </c>
      <c r="I1420" s="74"/>
      <c r="J1420" s="74">
        <v>6.7133013027083939</v>
      </c>
      <c r="K1420" s="74">
        <v>15.302680987151923</v>
      </c>
      <c r="L1420" s="74">
        <v>0</v>
      </c>
      <c r="M1420" s="74">
        <v>8.2017861502281946</v>
      </c>
      <c r="N1420" s="74">
        <v>0</v>
      </c>
    </row>
    <row r="1421" spans="1:14" x14ac:dyDescent="0.25">
      <c r="A1421" t="e">
        <f>VLOOKUP(VALUE(RIGHT(B1421,4)),'Waste Lookups'!$B$1:$C$295,2,FALSE)</f>
        <v>#N/A</v>
      </c>
      <c r="B1421" s="74" t="s">
        <v>3536</v>
      </c>
      <c r="C1421" s="74" t="s">
        <v>3537</v>
      </c>
      <c r="D1421" s="74">
        <v>5.0411515151515145</v>
      </c>
      <c r="E1421" s="74">
        <v>22.617179999999998</v>
      </c>
      <c r="F1421" s="74">
        <v>1.1592545454545458</v>
      </c>
      <c r="G1421" s="74">
        <v>0.45387</v>
      </c>
      <c r="H1421" s="74">
        <v>0</v>
      </c>
      <c r="I1421" s="74"/>
      <c r="J1421" s="74">
        <v>9.1619521079713468</v>
      </c>
      <c r="K1421" s="74">
        <v>41.105195778099791</v>
      </c>
      <c r="L1421" s="74">
        <v>2.1068667732918596</v>
      </c>
      <c r="M1421" s="74">
        <v>0.82487804438069434</v>
      </c>
      <c r="N1421" s="74">
        <v>0</v>
      </c>
    </row>
    <row r="1422" spans="1:14" x14ac:dyDescent="0.25">
      <c r="A1422" t="e">
        <f>VLOOKUP(VALUE(RIGHT(B1422,4)),'Waste Lookups'!$B$1:$C$295,2,FALSE)</f>
        <v>#N/A</v>
      </c>
      <c r="B1422" s="74" t="s">
        <v>3538</v>
      </c>
      <c r="C1422" s="74" t="s">
        <v>3539</v>
      </c>
      <c r="D1422" s="74">
        <v>5.2353030303030312</v>
      </c>
      <c r="E1422" s="74">
        <v>28.375259999999997</v>
      </c>
      <c r="F1422" s="74">
        <v>1.0789636363636363</v>
      </c>
      <c r="G1422" s="74">
        <v>0</v>
      </c>
      <c r="H1422" s="74">
        <v>0</v>
      </c>
      <c r="I1422" s="74"/>
      <c r="J1422" s="74">
        <v>8.8560270487691515</v>
      </c>
      <c r="K1422" s="74">
        <v>47.999527175662273</v>
      </c>
      <c r="L1422" s="74">
        <v>1.8251725053863035</v>
      </c>
      <c r="M1422" s="74">
        <v>0</v>
      </c>
      <c r="N1422" s="74">
        <v>0</v>
      </c>
    </row>
    <row r="1423" spans="1:14" x14ac:dyDescent="0.25">
      <c r="A1423" t="e">
        <f>VLOOKUP(VALUE(RIGHT(B1423,4)),'Waste Lookups'!$B$1:$C$295,2,FALSE)</f>
        <v>#N/A</v>
      </c>
      <c r="B1423" s="74" t="s">
        <v>3540</v>
      </c>
      <c r="C1423" s="74" t="s">
        <v>3541</v>
      </c>
      <c r="D1423" s="74">
        <v>4.7256363636363652</v>
      </c>
      <c r="E1423" s="74">
        <v>3.91608</v>
      </c>
      <c r="F1423" s="74">
        <v>1.0319636363636366</v>
      </c>
      <c r="G1423" s="74">
        <v>0</v>
      </c>
      <c r="H1423" s="74">
        <v>0</v>
      </c>
      <c r="I1423" s="74"/>
      <c r="J1423" s="74">
        <v>10.870428221187748</v>
      </c>
      <c r="K1423" s="74">
        <v>9.0081976844430365</v>
      </c>
      <c r="L1423" s="74">
        <v>2.3738361932137053</v>
      </c>
      <c r="M1423" s="74">
        <v>0</v>
      </c>
      <c r="N1423" s="74">
        <v>0</v>
      </c>
    </row>
    <row r="1424" spans="1:14" x14ac:dyDescent="0.25">
      <c r="A1424" t="e">
        <f>VLOOKUP(VALUE(RIGHT(B1424,4)),'Waste Lookups'!$B$1:$C$295,2,FALSE)</f>
        <v>#N/A</v>
      </c>
      <c r="B1424" s="74" t="s">
        <v>3542</v>
      </c>
      <c r="C1424" s="74" t="s">
        <v>3543</v>
      </c>
      <c r="D1424" s="74">
        <v>2.954545454545455</v>
      </c>
      <c r="E1424" s="74">
        <v>50.358299999999993</v>
      </c>
      <c r="F1424" s="74">
        <v>3.272727272727273E-2</v>
      </c>
      <c r="G1424" s="74">
        <v>0</v>
      </c>
      <c r="H1424" s="74">
        <v>0</v>
      </c>
      <c r="I1424" s="74"/>
      <c r="J1424" s="74">
        <v>2.6676566109634336</v>
      </c>
      <c r="K1424" s="74">
        <v>45.468466800943951</v>
      </c>
      <c r="L1424" s="74">
        <v>2.9549427075287262E-2</v>
      </c>
      <c r="M1424" s="74">
        <v>0</v>
      </c>
      <c r="N1424" s="74">
        <v>0</v>
      </c>
    </row>
    <row r="1425" spans="1:14" x14ac:dyDescent="0.25">
      <c r="A1425" t="e">
        <f>VLOOKUP(VALUE(RIGHT(B1425,4)),'Waste Lookups'!$B$1:$C$295,2,FALSE)</f>
        <v>#N/A</v>
      </c>
      <c r="B1425" s="74" t="s">
        <v>3544</v>
      </c>
      <c r="C1425" s="74" t="s">
        <v>3545</v>
      </c>
      <c r="D1425" s="74">
        <v>4.223878787878788</v>
      </c>
      <c r="E1425" s="74">
        <v>6.48</v>
      </c>
      <c r="F1425" s="74">
        <v>1.0378181818181818</v>
      </c>
      <c r="G1425" s="74">
        <v>0</v>
      </c>
      <c r="H1425" s="74">
        <v>0</v>
      </c>
      <c r="I1425" s="74"/>
      <c r="J1425" s="74">
        <v>10.010679525890698</v>
      </c>
      <c r="K1425" s="74">
        <v>15.357733160791941</v>
      </c>
      <c r="L1425" s="74">
        <v>2.4596504175589331</v>
      </c>
      <c r="M1425" s="74">
        <v>0</v>
      </c>
      <c r="N1425" s="74">
        <v>0</v>
      </c>
    </row>
    <row r="1426" spans="1:14" x14ac:dyDescent="0.25">
      <c r="A1426" t="e">
        <f>VLOOKUP(VALUE(RIGHT(B1426,4)),'Waste Lookups'!$B$1:$C$295,2,FALSE)</f>
        <v>#N/A</v>
      </c>
      <c r="B1426" s="74" t="s">
        <v>3546</v>
      </c>
      <c r="C1426" s="74" t="s">
        <v>3547</v>
      </c>
      <c r="D1426" s="74">
        <v>4.0609393939393934</v>
      </c>
      <c r="E1426" s="74">
        <v>11.52</v>
      </c>
      <c r="F1426" s="74">
        <v>1.0638545454545456</v>
      </c>
      <c r="G1426" s="74">
        <v>0</v>
      </c>
      <c r="H1426" s="74">
        <v>0</v>
      </c>
      <c r="I1426" s="74"/>
      <c r="J1426" s="74">
        <v>9.7268140710120807</v>
      </c>
      <c r="K1426" s="74">
        <v>27.592851610956956</v>
      </c>
      <c r="L1426" s="74">
        <v>2.5481580389209495</v>
      </c>
      <c r="M1426" s="74">
        <v>0</v>
      </c>
      <c r="N1426" s="74">
        <v>0</v>
      </c>
    </row>
    <row r="1427" spans="1:14" x14ac:dyDescent="0.25">
      <c r="A1427" t="str">
        <f>VLOOKUP(VALUE(RIGHT(B1427,4)),'Waste Lookups'!$B$1:$C$295,2,FALSE)</f>
        <v>Sovereign Court</v>
      </c>
      <c r="B1427" s="74" t="s">
        <v>806</v>
      </c>
      <c r="C1427" s="74" t="s">
        <v>3548</v>
      </c>
      <c r="D1427" s="74">
        <v>0</v>
      </c>
      <c r="E1427" s="74">
        <v>0</v>
      </c>
      <c r="F1427" s="74">
        <v>3.9272727272727279E-2</v>
      </c>
      <c r="G1427" s="74">
        <v>0</v>
      </c>
      <c r="H1427" s="74">
        <v>0</v>
      </c>
      <c r="I1427" s="74"/>
      <c r="J1427" s="74">
        <v>0</v>
      </c>
      <c r="K1427" s="74">
        <v>0</v>
      </c>
      <c r="L1427" s="74">
        <v>0.14303333333333332</v>
      </c>
      <c r="M1427" s="74">
        <v>0</v>
      </c>
      <c r="N1427" s="74">
        <v>0</v>
      </c>
    </row>
    <row r="1428" spans="1:14" x14ac:dyDescent="0.25">
      <c r="A1428" t="e">
        <f>VLOOKUP(VALUE(RIGHT(B1428,4)),'Waste Lookups'!$B$1:$C$295,2,FALSE)</f>
        <v>#N/A</v>
      </c>
      <c r="B1428" s="74" t="s">
        <v>3549</v>
      </c>
      <c r="C1428" s="74" t="s">
        <v>3550</v>
      </c>
      <c r="D1428" s="74">
        <v>3.9881818181818183</v>
      </c>
      <c r="E1428" s="74">
        <v>14.101319999999998</v>
      </c>
      <c r="F1428" s="74">
        <v>0.85489090909090903</v>
      </c>
      <c r="G1428" s="74">
        <v>0</v>
      </c>
      <c r="H1428" s="74">
        <v>0</v>
      </c>
      <c r="I1428" s="74"/>
      <c r="J1428" s="74">
        <v>9.2288688814161386</v>
      </c>
      <c r="K1428" s="74">
        <v>32.631218752765008</v>
      </c>
      <c r="L1428" s="74">
        <v>1.9782638975851623</v>
      </c>
      <c r="M1428" s="74">
        <v>0</v>
      </c>
      <c r="N1428" s="74">
        <v>0</v>
      </c>
    </row>
    <row r="1429" spans="1:14" x14ac:dyDescent="0.25">
      <c r="A1429" t="e">
        <f>VLOOKUP(VALUE(RIGHT(B1429,4)),'Waste Lookups'!$B$1:$C$295,2,FALSE)</f>
        <v>#N/A</v>
      </c>
      <c r="B1429" s="74" t="s">
        <v>3551</v>
      </c>
      <c r="C1429" s="74" t="s">
        <v>3552</v>
      </c>
      <c r="D1429" s="74">
        <v>2.384060606060606</v>
      </c>
      <c r="E1429" s="74">
        <v>8.8570799999999998</v>
      </c>
      <c r="F1429" s="74">
        <v>0.81229090909090917</v>
      </c>
      <c r="G1429" s="74">
        <v>2.2887900000000001</v>
      </c>
      <c r="H1429" s="74">
        <v>0</v>
      </c>
      <c r="I1429" s="74"/>
      <c r="J1429" s="74">
        <v>6.0301379523697598</v>
      </c>
      <c r="K1429" s="74">
        <v>22.402708269832218</v>
      </c>
      <c r="L1429" s="74">
        <v>2.0545728690042813</v>
      </c>
      <c r="M1429" s="74">
        <v>5.7891646751422892</v>
      </c>
      <c r="N1429" s="74">
        <v>0</v>
      </c>
    </row>
    <row r="1430" spans="1:14" x14ac:dyDescent="0.25">
      <c r="A1430" t="e">
        <f>VLOOKUP(VALUE(RIGHT(B1430,4)),'Waste Lookups'!$B$1:$C$295,2,FALSE)</f>
        <v>#N/A</v>
      </c>
      <c r="B1430" s="74" t="s">
        <v>3553</v>
      </c>
      <c r="C1430" s="74" t="s">
        <v>3554</v>
      </c>
      <c r="D1430" s="74">
        <v>7.6149393939393928</v>
      </c>
      <c r="E1430" s="74">
        <v>60.145919999999997</v>
      </c>
      <c r="F1430" s="74">
        <v>0.78463636363636369</v>
      </c>
      <c r="G1430" s="74">
        <v>0</v>
      </c>
      <c r="H1430" s="74">
        <v>0</v>
      </c>
      <c r="I1430" s="74"/>
      <c r="J1430" s="74">
        <v>8.1488159045598323</v>
      </c>
      <c r="K1430" s="74">
        <v>64.362696028869294</v>
      </c>
      <c r="L1430" s="74">
        <v>0.83964650912189265</v>
      </c>
      <c r="M1430" s="74">
        <v>0</v>
      </c>
      <c r="N1430" s="74">
        <v>0</v>
      </c>
    </row>
    <row r="1431" spans="1:14" x14ac:dyDescent="0.25">
      <c r="A1431" t="e">
        <f>VLOOKUP(VALUE(RIGHT(B1431,4)),'Waste Lookups'!$B$1:$C$295,2,FALSE)</f>
        <v>#N/A</v>
      </c>
      <c r="B1431" s="74" t="s">
        <v>3555</v>
      </c>
      <c r="C1431" s="74" t="s">
        <v>3556</v>
      </c>
      <c r="D1431" s="74">
        <v>1.2413333333333332</v>
      </c>
      <c r="E1431" s="74">
        <v>0</v>
      </c>
      <c r="F1431" s="74">
        <v>0</v>
      </c>
      <c r="G1431" s="74">
        <v>0</v>
      </c>
      <c r="H1431" s="74">
        <v>0</v>
      </c>
      <c r="I1431" s="74"/>
      <c r="J1431" s="74">
        <v>2.4523055555555557</v>
      </c>
      <c r="K1431" s="74">
        <v>0</v>
      </c>
      <c r="L1431" s="74">
        <v>0</v>
      </c>
      <c r="M1431" s="74">
        <v>0</v>
      </c>
      <c r="N1431" s="74">
        <v>0</v>
      </c>
    </row>
    <row r="1432" spans="1:14" x14ac:dyDescent="0.25">
      <c r="A1432" t="e">
        <f>VLOOKUP(VALUE(RIGHT(B1432,4)),'Waste Lookups'!$B$1:$C$295,2,FALSE)</f>
        <v>#N/A</v>
      </c>
      <c r="B1432" s="74" t="s">
        <v>3557</v>
      </c>
      <c r="C1432" s="74" t="s">
        <v>3558</v>
      </c>
      <c r="D1432" s="74">
        <v>6.400333333333335</v>
      </c>
      <c r="E1432" s="74">
        <v>0</v>
      </c>
      <c r="F1432" s="74">
        <v>0</v>
      </c>
      <c r="G1432" s="74">
        <v>0</v>
      </c>
      <c r="H1432" s="74">
        <v>0</v>
      </c>
      <c r="I1432" s="74"/>
      <c r="J1432" s="74">
        <v>2.8718888888888889</v>
      </c>
      <c r="K1432" s="74">
        <v>0</v>
      </c>
      <c r="L1432" s="74">
        <v>0</v>
      </c>
      <c r="M1432" s="74">
        <v>0</v>
      </c>
      <c r="N1432" s="74">
        <v>0</v>
      </c>
    </row>
    <row r="1433" spans="1:14" x14ac:dyDescent="0.25">
      <c r="A1433" t="e">
        <f>VLOOKUP(VALUE(RIGHT(B1433,4)),'Waste Lookups'!$B$1:$C$295,2,FALSE)</f>
        <v>#N/A</v>
      </c>
      <c r="B1433" s="74" t="s">
        <v>3559</v>
      </c>
      <c r="C1433" s="74" t="s">
        <v>3560</v>
      </c>
      <c r="D1433" s="74">
        <v>22.149212121212123</v>
      </c>
      <c r="E1433" s="74">
        <v>10.48584</v>
      </c>
      <c r="F1433" s="74">
        <v>0</v>
      </c>
      <c r="G1433" s="74">
        <v>5.0258700000000003</v>
      </c>
      <c r="H1433" s="74">
        <v>0</v>
      </c>
      <c r="I1433" s="74"/>
      <c r="J1433" s="74">
        <v>17.531770498183509</v>
      </c>
      <c r="K1433" s="74">
        <v>8.2998591261228167</v>
      </c>
      <c r="L1433" s="74">
        <v>0</v>
      </c>
      <c r="M1433" s="74">
        <v>3.978127931210746</v>
      </c>
      <c r="N1433" s="74">
        <v>0</v>
      </c>
    </row>
    <row r="1434" spans="1:14" x14ac:dyDescent="0.25">
      <c r="A1434" t="e">
        <f>VLOOKUP(VALUE(RIGHT(B1434,4)),'Waste Lookups'!$B$1:$C$295,2,FALSE)</f>
        <v>#N/A</v>
      </c>
      <c r="B1434" s="74" t="s">
        <v>3561</v>
      </c>
      <c r="C1434" s="74" t="s">
        <v>3562</v>
      </c>
      <c r="D1434" s="74">
        <v>0</v>
      </c>
      <c r="E1434" s="74">
        <v>0</v>
      </c>
      <c r="F1434" s="74">
        <v>3.272727272727273E-2</v>
      </c>
      <c r="G1434" s="74">
        <v>0</v>
      </c>
      <c r="H1434" s="74">
        <v>0</v>
      </c>
      <c r="I1434" s="74"/>
      <c r="J1434" s="74">
        <v>0</v>
      </c>
      <c r="K1434" s="74">
        <v>0</v>
      </c>
      <c r="L1434" s="74">
        <v>0</v>
      </c>
      <c r="M1434" s="74">
        <v>0</v>
      </c>
      <c r="N1434" s="74">
        <v>0</v>
      </c>
    </row>
    <row r="1435" spans="1:14" x14ac:dyDescent="0.25">
      <c r="A1435" t="e">
        <f>VLOOKUP(VALUE(RIGHT(B1435,4)),'Waste Lookups'!$B$1:$C$295,2,FALSE)</f>
        <v>#N/A</v>
      </c>
      <c r="B1435" s="74" t="s">
        <v>3563</v>
      </c>
      <c r="C1435" s="74" t="s">
        <v>3564</v>
      </c>
      <c r="D1435" s="74">
        <v>0</v>
      </c>
      <c r="E1435" s="74">
        <v>0</v>
      </c>
      <c r="F1435" s="74">
        <v>3.272727272727273E-2</v>
      </c>
      <c r="G1435" s="74">
        <v>0</v>
      </c>
      <c r="H1435" s="74">
        <v>0</v>
      </c>
      <c r="I1435" s="74"/>
      <c r="J1435" s="74">
        <v>0</v>
      </c>
      <c r="K1435" s="74">
        <v>0</v>
      </c>
      <c r="L1435" s="74">
        <v>0</v>
      </c>
      <c r="M1435" s="74">
        <v>0</v>
      </c>
      <c r="N1435" s="74">
        <v>0</v>
      </c>
    </row>
    <row r="1436" spans="1:14" x14ac:dyDescent="0.25">
      <c r="A1436" t="e">
        <f>VLOOKUP(VALUE(RIGHT(B1436,4)),'Waste Lookups'!$B$1:$C$295,2,FALSE)</f>
        <v>#N/A</v>
      </c>
      <c r="B1436" s="74" t="s">
        <v>3565</v>
      </c>
      <c r="C1436" s="74" t="s">
        <v>3566</v>
      </c>
      <c r="D1436" s="74">
        <v>29.359515151515147</v>
      </c>
      <c r="E1436" s="74">
        <v>13.06902</v>
      </c>
      <c r="F1436" s="74">
        <v>0</v>
      </c>
      <c r="G1436" s="74">
        <v>2.673</v>
      </c>
      <c r="H1436" s="74">
        <v>0</v>
      </c>
      <c r="I1436" s="74"/>
      <c r="J1436" s="74">
        <v>13.903388133962777</v>
      </c>
      <c r="K1436" s="74">
        <v>6.1889188786942588</v>
      </c>
      <c r="L1436" s="74">
        <v>0</v>
      </c>
      <c r="M1436" s="74">
        <v>1.265816424089163</v>
      </c>
      <c r="N1436" s="74">
        <v>0</v>
      </c>
    </row>
    <row r="1437" spans="1:14" x14ac:dyDescent="0.25">
      <c r="A1437" t="e">
        <f>VLOOKUP(VALUE(RIGHT(B1437,4)),'Waste Lookups'!$B$1:$C$295,2,FALSE)</f>
        <v>#N/A</v>
      </c>
      <c r="B1437" s="74" t="s">
        <v>3567</v>
      </c>
      <c r="C1437" s="74" t="s">
        <v>3568</v>
      </c>
      <c r="D1437" s="74">
        <v>13.58542424242424</v>
      </c>
      <c r="E1437" s="74">
        <v>13.590359999999997</v>
      </c>
      <c r="F1437" s="74">
        <v>0</v>
      </c>
      <c r="G1437" s="74">
        <v>8.350200000000001</v>
      </c>
      <c r="H1437" s="74">
        <v>0</v>
      </c>
      <c r="I1437" s="74"/>
      <c r="J1437" s="74">
        <v>9.3813533662785193</v>
      </c>
      <c r="K1437" s="74">
        <v>9.3847617313852822</v>
      </c>
      <c r="L1437" s="74">
        <v>0</v>
      </c>
      <c r="M1437" s="74">
        <v>5.7661929050748766</v>
      </c>
      <c r="N1437" s="74">
        <v>0</v>
      </c>
    </row>
    <row r="1438" spans="1:14" x14ac:dyDescent="0.25">
      <c r="A1438" t="e">
        <f>VLOOKUP(VALUE(RIGHT(B1438,4)),'Waste Lookups'!$B$1:$C$295,2,FALSE)</f>
        <v>#N/A</v>
      </c>
      <c r="B1438" s="74" t="s">
        <v>3569</v>
      </c>
      <c r="C1438" s="74" t="s">
        <v>3570</v>
      </c>
      <c r="D1438" s="74">
        <v>18.827939393939396</v>
      </c>
      <c r="E1438" s="74">
        <v>17.681639999999998</v>
      </c>
      <c r="F1438" s="74">
        <v>0</v>
      </c>
      <c r="G1438" s="74">
        <v>20.442060000000001</v>
      </c>
      <c r="H1438" s="74">
        <v>0</v>
      </c>
      <c r="I1438" s="74"/>
      <c r="J1438" s="74">
        <v>13.899810187104833</v>
      </c>
      <c r="K1438" s="74">
        <v>13.053549549656649</v>
      </c>
      <c r="L1438" s="74">
        <v>0</v>
      </c>
      <c r="M1438" s="74">
        <v>15.091441919813676</v>
      </c>
      <c r="N1438" s="74">
        <v>0</v>
      </c>
    </row>
    <row r="1439" spans="1:14" x14ac:dyDescent="0.25">
      <c r="A1439" t="e">
        <f>VLOOKUP(VALUE(RIGHT(B1439,4)),'Waste Lookups'!$B$1:$C$295,2,FALSE)</f>
        <v>#N/A</v>
      </c>
      <c r="B1439" s="74" t="s">
        <v>3571</v>
      </c>
      <c r="C1439" s="74" t="s">
        <v>3572</v>
      </c>
      <c r="D1439" s="74">
        <v>7.1674848484848486</v>
      </c>
      <c r="E1439" s="74">
        <v>0.41424000000000005</v>
      </c>
      <c r="F1439" s="74">
        <v>0</v>
      </c>
      <c r="G1439" s="74">
        <v>1.4640299999999997</v>
      </c>
      <c r="H1439" s="74">
        <v>0</v>
      </c>
      <c r="I1439" s="74"/>
      <c r="J1439" s="74">
        <v>3.1416498237054835</v>
      </c>
      <c r="K1439" s="74">
        <v>0.18156955340433886</v>
      </c>
      <c r="L1439" s="74">
        <v>0</v>
      </c>
      <c r="M1439" s="74">
        <v>0.64171319348820532</v>
      </c>
      <c r="N1439" s="74">
        <v>0</v>
      </c>
    </row>
    <row r="1440" spans="1:14" x14ac:dyDescent="0.25">
      <c r="A1440" t="e">
        <f>VLOOKUP(VALUE(RIGHT(B1440,4)),'Waste Lookups'!$B$1:$C$295,2,FALSE)</f>
        <v>#N/A</v>
      </c>
      <c r="B1440" s="74" t="s">
        <v>3573</v>
      </c>
      <c r="C1440" s="74" t="s">
        <v>3574</v>
      </c>
      <c r="D1440" s="74">
        <v>12.499181818181816</v>
      </c>
      <c r="E1440" s="74">
        <v>5.1229199999999988</v>
      </c>
      <c r="F1440" s="74">
        <v>0</v>
      </c>
      <c r="G1440" s="74">
        <v>4.8437999999999999</v>
      </c>
      <c r="H1440" s="74">
        <v>0</v>
      </c>
      <c r="I1440" s="74"/>
      <c r="J1440" s="74">
        <v>8.9377561331399846</v>
      </c>
      <c r="K1440" s="74">
        <v>3.6632325471881093</v>
      </c>
      <c r="L1440" s="74">
        <v>0</v>
      </c>
      <c r="M1440" s="74">
        <v>3.4636429637920889</v>
      </c>
      <c r="N1440" s="74">
        <v>0</v>
      </c>
    </row>
    <row r="1441" spans="1:14" x14ac:dyDescent="0.25">
      <c r="A1441" t="e">
        <f>VLOOKUP(VALUE(RIGHT(B1441,4)),'Waste Lookups'!$B$1:$C$295,2,FALSE)</f>
        <v>#N/A</v>
      </c>
      <c r="B1441" s="74" t="s">
        <v>3575</v>
      </c>
      <c r="C1441" s="74" t="s">
        <v>3576</v>
      </c>
      <c r="D1441" s="74">
        <v>1.8870606060606063</v>
      </c>
      <c r="E1441" s="74">
        <v>4.4801399999999996</v>
      </c>
      <c r="F1441" s="74">
        <v>0</v>
      </c>
      <c r="G1441" s="74">
        <v>4.7502899999999997</v>
      </c>
      <c r="H1441" s="74">
        <v>0</v>
      </c>
      <c r="I1441" s="74"/>
      <c r="J1441" s="74">
        <v>0.97780973738321431</v>
      </c>
      <c r="K1441" s="74">
        <v>2.3214540660594651</v>
      </c>
      <c r="L1441" s="74">
        <v>0</v>
      </c>
      <c r="M1441" s="74">
        <v>2.461436480882655</v>
      </c>
      <c r="N1441" s="74">
        <v>0</v>
      </c>
    </row>
    <row r="1442" spans="1:14" x14ac:dyDescent="0.25">
      <c r="A1442" t="e">
        <f>VLOOKUP(VALUE(RIGHT(B1442,4)),'Waste Lookups'!$B$1:$C$295,2,FALSE)</f>
        <v>#N/A</v>
      </c>
      <c r="B1442" s="74" t="s">
        <v>3577</v>
      </c>
      <c r="C1442" s="74" t="s">
        <v>3578</v>
      </c>
      <c r="D1442" s="74">
        <v>18.547666666666668</v>
      </c>
      <c r="E1442" s="74">
        <v>6.2920800000000003</v>
      </c>
      <c r="F1442" s="74">
        <v>0</v>
      </c>
      <c r="G1442" s="74">
        <v>1.7901000000000002</v>
      </c>
      <c r="H1442" s="74">
        <v>0</v>
      </c>
      <c r="I1442" s="74"/>
      <c r="J1442" s="74">
        <v>9.2843825881451174</v>
      </c>
      <c r="K1442" s="74">
        <v>3.1496187118891581</v>
      </c>
      <c r="L1442" s="74">
        <v>0</v>
      </c>
      <c r="M1442" s="74">
        <v>0.89606814537526247</v>
      </c>
      <c r="N1442" s="74">
        <v>0</v>
      </c>
    </row>
    <row r="1443" spans="1:14" x14ac:dyDescent="0.25">
      <c r="A1443" t="e">
        <f>VLOOKUP(VALUE(RIGHT(B1443,4)),'Waste Lookups'!$B$1:$C$295,2,FALSE)</f>
        <v>#N/A</v>
      </c>
      <c r="B1443" s="74" t="s">
        <v>3579</v>
      </c>
      <c r="C1443" s="74" t="s">
        <v>3580</v>
      </c>
      <c r="D1443" s="74">
        <v>19.327727272727273</v>
      </c>
      <c r="E1443" s="74">
        <v>7.9909799999999986</v>
      </c>
      <c r="F1443" s="74">
        <v>0</v>
      </c>
      <c r="G1443" s="74">
        <v>2.4174000000000002</v>
      </c>
      <c r="H1443" s="74">
        <v>0</v>
      </c>
      <c r="I1443" s="74"/>
      <c r="J1443" s="74">
        <v>10.069913025981229</v>
      </c>
      <c r="K1443" s="74">
        <v>4.1633696738830714</v>
      </c>
      <c r="L1443" s="74">
        <v>0</v>
      </c>
      <c r="M1443" s="74">
        <v>1.2594863020111347</v>
      </c>
      <c r="N1443" s="74">
        <v>0</v>
      </c>
    </row>
    <row r="1444" spans="1:14" x14ac:dyDescent="0.25">
      <c r="A1444" t="e">
        <f>VLOOKUP(VALUE(RIGHT(B1444,4)),'Waste Lookups'!$B$1:$C$295,2,FALSE)</f>
        <v>#N/A</v>
      </c>
      <c r="B1444" s="74" t="s">
        <v>3581</v>
      </c>
      <c r="C1444" s="74" t="s">
        <v>3582</v>
      </c>
      <c r="D1444" s="74">
        <v>22.907727272727275</v>
      </c>
      <c r="E1444" s="74">
        <v>0</v>
      </c>
      <c r="F1444" s="74">
        <v>0</v>
      </c>
      <c r="G1444" s="74">
        <v>0</v>
      </c>
      <c r="H1444" s="74">
        <v>0</v>
      </c>
      <c r="I1444" s="74"/>
      <c r="J1444" s="74">
        <v>8.1380833333333342</v>
      </c>
      <c r="K1444" s="74">
        <v>0</v>
      </c>
      <c r="L1444" s="74">
        <v>0</v>
      </c>
      <c r="M1444" s="74">
        <v>0</v>
      </c>
      <c r="N1444" s="74">
        <v>0</v>
      </c>
    </row>
    <row r="1445" spans="1:14" x14ac:dyDescent="0.25">
      <c r="A1445" t="e">
        <f>VLOOKUP(VALUE(RIGHT(B1445,4)),'Waste Lookups'!$B$1:$C$295,2,FALSE)</f>
        <v>#N/A</v>
      </c>
      <c r="B1445" s="74" t="s">
        <v>3583</v>
      </c>
      <c r="C1445" s="74" t="s">
        <v>3584</v>
      </c>
      <c r="D1445" s="74">
        <v>0</v>
      </c>
      <c r="E1445" s="74">
        <v>0</v>
      </c>
      <c r="F1445" s="74">
        <v>3.272727272727273E-2</v>
      </c>
      <c r="G1445" s="74">
        <v>0</v>
      </c>
      <c r="H1445" s="74">
        <v>0</v>
      </c>
      <c r="I1445" s="74"/>
      <c r="J1445" s="74">
        <v>0</v>
      </c>
      <c r="K1445" s="74">
        <v>0</v>
      </c>
      <c r="L1445" s="74">
        <v>0</v>
      </c>
      <c r="M1445" s="74">
        <v>0</v>
      </c>
      <c r="N1445" s="74">
        <v>0</v>
      </c>
    </row>
    <row r="1446" spans="1:14" x14ac:dyDescent="0.25">
      <c r="A1446" t="e">
        <f>VLOOKUP(VALUE(RIGHT(B1446,4)),'Waste Lookups'!$B$1:$C$295,2,FALSE)</f>
        <v>#N/A</v>
      </c>
      <c r="B1446" s="74" t="s">
        <v>3585</v>
      </c>
      <c r="C1446" s="74" t="s">
        <v>3586</v>
      </c>
      <c r="D1446" s="74">
        <v>35.405242424242424</v>
      </c>
      <c r="E1446" s="74">
        <v>41.13888</v>
      </c>
      <c r="F1446" s="74">
        <v>0</v>
      </c>
      <c r="G1446" s="74">
        <v>11.160360000000001</v>
      </c>
      <c r="H1446" s="74">
        <v>0</v>
      </c>
      <c r="I1446" s="74"/>
      <c r="J1446" s="74">
        <v>22.818508177109884</v>
      </c>
      <c r="K1446" s="74">
        <v>26.513809972796103</v>
      </c>
      <c r="L1446" s="74">
        <v>0</v>
      </c>
      <c r="M1446" s="74">
        <v>7.1927982547895013</v>
      </c>
      <c r="N1446" s="74">
        <v>0</v>
      </c>
    </row>
    <row r="1447" spans="1:14" x14ac:dyDescent="0.25">
      <c r="A1447" t="e">
        <f>VLOOKUP(VALUE(RIGHT(B1447,4)),'Waste Lookups'!$B$1:$C$295,2,FALSE)</f>
        <v>#N/A</v>
      </c>
      <c r="B1447" s="74" t="s">
        <v>3587</v>
      </c>
      <c r="C1447" s="74" t="s">
        <v>3588</v>
      </c>
      <c r="D1447" s="74">
        <v>0</v>
      </c>
      <c r="E1447" s="74">
        <v>2.5091400000000004</v>
      </c>
      <c r="F1447" s="74">
        <v>0</v>
      </c>
      <c r="G1447" s="74">
        <v>3.7935899999999991</v>
      </c>
      <c r="H1447" s="74">
        <v>0</v>
      </c>
      <c r="I1447" s="74"/>
      <c r="J1447" s="74">
        <v>0</v>
      </c>
      <c r="K1447" s="74">
        <v>3.1494209128855539</v>
      </c>
      <c r="L1447" s="74">
        <v>0</v>
      </c>
      <c r="M1447" s="74">
        <v>4.7616361306716675</v>
      </c>
      <c r="N1447" s="74">
        <v>0</v>
      </c>
    </row>
    <row r="1448" spans="1:14" x14ac:dyDescent="0.25">
      <c r="A1448" t="e">
        <f>VLOOKUP(VALUE(RIGHT(B1448,4)),'Waste Lookups'!$B$1:$C$295,2,FALSE)</f>
        <v>#N/A</v>
      </c>
      <c r="B1448" s="74" t="s">
        <v>3589</v>
      </c>
      <c r="C1448" s="74" t="s">
        <v>3590</v>
      </c>
      <c r="D1448" s="74">
        <v>197.67251515151517</v>
      </c>
      <c r="E1448" s="74">
        <v>261.74171999999999</v>
      </c>
      <c r="F1448" s="74">
        <v>9.9800000000000014E-2</v>
      </c>
      <c r="G1448" s="74">
        <v>122.20379999999999</v>
      </c>
      <c r="H1448" s="74">
        <v>4.4080867678958775</v>
      </c>
      <c r="I1448" s="74"/>
      <c r="J1448" s="74">
        <v>372.53048700181756</v>
      </c>
      <c r="K1448" s="74">
        <v>493.27429433249648</v>
      </c>
      <c r="L1448" s="74">
        <v>0.18808149718884384</v>
      </c>
      <c r="M1448" s="74">
        <v>230.30334334835703</v>
      </c>
      <c r="N1448" s="74">
        <v>8.30741041126441</v>
      </c>
    </row>
    <row r="1449" spans="1:14" x14ac:dyDescent="0.25">
      <c r="A1449" t="e">
        <f>VLOOKUP(VALUE(RIGHT(B1449,4)),'Waste Lookups'!$B$1:$C$295,2,FALSE)</f>
        <v>#N/A</v>
      </c>
      <c r="B1449" s="74" t="s">
        <v>3591</v>
      </c>
      <c r="C1449" s="74" t="s">
        <v>3592</v>
      </c>
      <c r="D1449" s="74">
        <v>0</v>
      </c>
      <c r="E1449" s="74">
        <v>0</v>
      </c>
      <c r="F1449" s="74">
        <v>3.272727272727273E-2</v>
      </c>
      <c r="G1449" s="74">
        <v>0</v>
      </c>
      <c r="H1449" s="74">
        <v>0</v>
      </c>
      <c r="I1449" s="74"/>
      <c r="J1449" s="74">
        <v>0</v>
      </c>
      <c r="K1449" s="74">
        <v>0</v>
      </c>
      <c r="L1449" s="74">
        <v>0</v>
      </c>
      <c r="M1449" s="74">
        <v>0</v>
      </c>
      <c r="N1449" s="74">
        <v>0</v>
      </c>
    </row>
    <row r="1450" spans="1:14" x14ac:dyDescent="0.25">
      <c r="A1450" t="e">
        <f>VLOOKUP(VALUE(RIGHT(B1450,4)),'Waste Lookups'!$B$1:$C$295,2,FALSE)</f>
        <v>#N/A</v>
      </c>
      <c r="B1450" s="74" t="s">
        <v>3593</v>
      </c>
      <c r="C1450" s="74" t="s">
        <v>3594</v>
      </c>
      <c r="D1450" s="74">
        <v>4.442787878787879</v>
      </c>
      <c r="E1450" s="74">
        <v>6.4279799999999998</v>
      </c>
      <c r="F1450" s="74">
        <v>0.72765454545454555</v>
      </c>
      <c r="G1450" s="74">
        <v>2.4692400000000001</v>
      </c>
      <c r="H1450" s="74">
        <v>0.63078682705580758</v>
      </c>
      <c r="I1450" s="74"/>
      <c r="J1450" s="74">
        <v>12.164338212217379</v>
      </c>
      <c r="K1450" s="74">
        <v>17.599787537617516</v>
      </c>
      <c r="L1450" s="74">
        <v>1.9923156887205073</v>
      </c>
      <c r="M1450" s="74">
        <v>6.7607707832610977</v>
      </c>
      <c r="N1450" s="74">
        <v>1.7270922027931161</v>
      </c>
    </row>
    <row r="1451" spans="1:14" x14ac:dyDescent="0.25">
      <c r="A1451" t="e">
        <f>VLOOKUP(VALUE(RIGHT(B1451,4)),'Waste Lookups'!$B$1:$C$295,2,FALSE)</f>
        <v>#N/A</v>
      </c>
      <c r="B1451" s="74" t="s">
        <v>3595</v>
      </c>
      <c r="C1451" s="74" t="s">
        <v>3596</v>
      </c>
      <c r="D1451" s="74">
        <v>2.9175454545454547</v>
      </c>
      <c r="E1451" s="74">
        <v>0</v>
      </c>
      <c r="F1451" s="74">
        <v>0.46812727272727284</v>
      </c>
      <c r="G1451" s="74">
        <v>0</v>
      </c>
      <c r="H1451" s="74">
        <v>0.35064326562808124</v>
      </c>
      <c r="I1451" s="74"/>
      <c r="J1451" s="74">
        <v>18.009242464579934</v>
      </c>
      <c r="K1451" s="74">
        <v>0</v>
      </c>
      <c r="L1451" s="74">
        <v>2.8896268079365575</v>
      </c>
      <c r="M1451" s="74">
        <v>0</v>
      </c>
      <c r="N1451" s="74">
        <v>2.1644288624295154</v>
      </c>
    </row>
    <row r="1452" spans="1:14" x14ac:dyDescent="0.25">
      <c r="A1452" t="e">
        <f>VLOOKUP(VALUE(RIGHT(B1452,4)),'Waste Lookups'!$B$1:$C$295,2,FALSE)</f>
        <v>#N/A</v>
      </c>
      <c r="B1452" s="74" t="s">
        <v>3597</v>
      </c>
      <c r="C1452" s="74" t="s">
        <v>3598</v>
      </c>
      <c r="D1452" s="74">
        <v>1.4979393939393939</v>
      </c>
      <c r="E1452" s="74">
        <v>2.5421999999999998</v>
      </c>
      <c r="F1452" s="74">
        <v>0</v>
      </c>
      <c r="G1452" s="74">
        <v>4.1558400000000004</v>
      </c>
      <c r="H1452" s="74">
        <v>0</v>
      </c>
      <c r="I1452" s="74"/>
      <c r="J1452" s="74">
        <v>3.8326457100246256</v>
      </c>
      <c r="K1452" s="74">
        <v>6.5045034288074906</v>
      </c>
      <c r="L1452" s="74">
        <v>0</v>
      </c>
      <c r="M1452" s="74">
        <v>10.633182098015626</v>
      </c>
      <c r="N1452" s="74">
        <v>0</v>
      </c>
    </row>
    <row r="1453" spans="1:14" x14ac:dyDescent="0.25">
      <c r="A1453" t="e">
        <f>VLOOKUP(VALUE(RIGHT(B1453,4)),'Waste Lookups'!$B$1:$C$295,2,FALSE)</f>
        <v>#N/A</v>
      </c>
      <c r="B1453" s="74" t="s">
        <v>3599</v>
      </c>
      <c r="C1453" s="74" t="s">
        <v>3600</v>
      </c>
      <c r="D1453" s="74">
        <v>0</v>
      </c>
      <c r="E1453" s="74">
        <v>0.11364000000000002</v>
      </c>
      <c r="F1453" s="74">
        <v>0</v>
      </c>
      <c r="G1453" s="74">
        <v>0</v>
      </c>
      <c r="H1453" s="74">
        <v>0</v>
      </c>
      <c r="I1453" s="74"/>
      <c r="J1453" s="74">
        <v>0</v>
      </c>
      <c r="K1453" s="74">
        <v>0</v>
      </c>
      <c r="L1453" s="74">
        <v>0</v>
      </c>
      <c r="M1453" s="74">
        <v>0</v>
      </c>
      <c r="N1453" s="74">
        <v>0</v>
      </c>
    </row>
    <row r="1454" spans="1:14" x14ac:dyDescent="0.25">
      <c r="A1454" t="e">
        <f>VLOOKUP(VALUE(RIGHT(B1454,4)),'Waste Lookups'!$B$1:$C$295,2,FALSE)</f>
        <v>#N/A</v>
      </c>
      <c r="B1454" s="74" t="s">
        <v>3601</v>
      </c>
      <c r="C1454" s="74" t="s">
        <v>3602</v>
      </c>
      <c r="D1454" s="74">
        <v>0</v>
      </c>
      <c r="E1454" s="74">
        <v>8.726939999999999</v>
      </c>
      <c r="F1454" s="74">
        <v>0</v>
      </c>
      <c r="G1454" s="74">
        <v>0</v>
      </c>
      <c r="H1454" s="74">
        <v>0</v>
      </c>
      <c r="I1454" s="74"/>
      <c r="J1454" s="74">
        <v>0</v>
      </c>
      <c r="K1454" s="74">
        <v>0</v>
      </c>
      <c r="L1454" s="74">
        <v>0</v>
      </c>
      <c r="M1454" s="74">
        <v>0</v>
      </c>
      <c r="N1454" s="74">
        <v>0</v>
      </c>
    </row>
    <row r="1455" spans="1:14" x14ac:dyDescent="0.25">
      <c r="A1455" t="e">
        <f>VLOOKUP(VALUE(RIGHT(B1455,4)),'Waste Lookups'!$B$1:$C$295,2,FALSE)</f>
        <v>#N/A</v>
      </c>
      <c r="B1455" s="74" t="s">
        <v>3603</v>
      </c>
      <c r="C1455" s="74" t="s">
        <v>3604</v>
      </c>
      <c r="D1455" s="74">
        <v>2.4244848484848487</v>
      </c>
      <c r="E1455" s="74">
        <v>0.45527999999999991</v>
      </c>
      <c r="F1455" s="74">
        <v>0</v>
      </c>
      <c r="G1455" s="74">
        <v>0</v>
      </c>
      <c r="H1455" s="74">
        <v>0</v>
      </c>
      <c r="I1455" s="74"/>
      <c r="J1455" s="74">
        <v>6.5618385162183976</v>
      </c>
      <c r="K1455" s="74">
        <v>1.2322097378875747</v>
      </c>
      <c r="L1455" s="74">
        <v>0</v>
      </c>
      <c r="M1455" s="74">
        <v>0</v>
      </c>
      <c r="N1455" s="74">
        <v>0</v>
      </c>
    </row>
    <row r="1456" spans="1:14" x14ac:dyDescent="0.25">
      <c r="A1456" t="e">
        <f>VLOOKUP(VALUE(RIGHT(B1456,4)),'Waste Lookups'!$B$1:$C$295,2,FALSE)</f>
        <v>#N/A</v>
      </c>
      <c r="B1456" s="74" t="s">
        <v>3605</v>
      </c>
      <c r="C1456" s="74" t="s">
        <v>3606</v>
      </c>
      <c r="D1456" s="74">
        <v>18.04</v>
      </c>
      <c r="E1456" s="74">
        <v>0.44327999999999995</v>
      </c>
      <c r="F1456" s="74">
        <v>0</v>
      </c>
      <c r="G1456" s="74">
        <v>0</v>
      </c>
      <c r="H1456" s="74">
        <v>0</v>
      </c>
      <c r="I1456" s="74"/>
      <c r="J1456" s="74">
        <v>26.965136860082605</v>
      </c>
      <c r="K1456" s="74">
        <v>0.66258901703644224</v>
      </c>
      <c r="L1456" s="74">
        <v>0</v>
      </c>
      <c r="M1456" s="74">
        <v>0</v>
      </c>
      <c r="N1456" s="74">
        <v>0</v>
      </c>
    </row>
    <row r="1457" spans="1:14" x14ac:dyDescent="0.25">
      <c r="A1457" t="e">
        <f>VLOOKUP(VALUE(RIGHT(B1457,4)),'Waste Lookups'!$B$1:$C$295,2,FALSE)</f>
        <v>#N/A</v>
      </c>
      <c r="B1457" s="74" t="s">
        <v>3607</v>
      </c>
      <c r="C1457" s="74" t="s">
        <v>3608</v>
      </c>
      <c r="D1457" s="74">
        <v>19.06612121212121</v>
      </c>
      <c r="E1457" s="74">
        <v>0.55571999999999988</v>
      </c>
      <c r="F1457" s="74">
        <v>0</v>
      </c>
      <c r="G1457" s="74">
        <v>0</v>
      </c>
      <c r="H1457" s="74">
        <v>0</v>
      </c>
      <c r="I1457" s="74"/>
      <c r="J1457" s="74">
        <v>16.99184042253075</v>
      </c>
      <c r="K1457" s="74">
        <v>0.49526096338911474</v>
      </c>
      <c r="L1457" s="74">
        <v>0</v>
      </c>
      <c r="M1457" s="74">
        <v>0</v>
      </c>
      <c r="N1457" s="74">
        <v>0</v>
      </c>
    </row>
    <row r="1458" spans="1:14" x14ac:dyDescent="0.25">
      <c r="A1458" t="e">
        <f>VLOOKUP(VALUE(RIGHT(B1458,4)),'Waste Lookups'!$B$1:$C$295,2,FALSE)</f>
        <v>#N/A</v>
      </c>
      <c r="B1458" s="74" t="s">
        <v>3609</v>
      </c>
      <c r="C1458" s="74" t="s">
        <v>3610</v>
      </c>
      <c r="D1458" s="74">
        <v>23.789060606060609</v>
      </c>
      <c r="E1458" s="74">
        <v>0.79691999999999985</v>
      </c>
      <c r="F1458" s="74">
        <v>0</v>
      </c>
      <c r="G1458" s="74">
        <v>0</v>
      </c>
      <c r="H1458" s="74">
        <v>0</v>
      </c>
      <c r="I1458" s="74"/>
      <c r="J1458" s="74">
        <v>26.406317367220293</v>
      </c>
      <c r="K1458" s="74">
        <v>0.88459661290383185</v>
      </c>
      <c r="L1458" s="74">
        <v>0</v>
      </c>
      <c r="M1458" s="74">
        <v>0</v>
      </c>
      <c r="N1458" s="74">
        <v>0</v>
      </c>
    </row>
    <row r="1459" spans="1:14" x14ac:dyDescent="0.25">
      <c r="A1459" t="e">
        <f>VLOOKUP(VALUE(RIGHT(B1459,4)),'Waste Lookups'!$B$1:$C$295,2,FALSE)</f>
        <v>#N/A</v>
      </c>
      <c r="B1459" s="74" t="s">
        <v>3611</v>
      </c>
      <c r="C1459" s="74" t="s">
        <v>3612</v>
      </c>
      <c r="D1459" s="74">
        <v>22.923636363636369</v>
      </c>
      <c r="E1459" s="74">
        <v>0.68327999999999989</v>
      </c>
      <c r="F1459" s="74">
        <v>0</v>
      </c>
      <c r="G1459" s="74">
        <v>0</v>
      </c>
      <c r="H1459" s="74">
        <v>0</v>
      </c>
      <c r="I1459" s="74"/>
      <c r="J1459" s="74">
        <v>23.608789288436732</v>
      </c>
      <c r="K1459" s="74">
        <v>0.70370220889527879</v>
      </c>
      <c r="L1459" s="74">
        <v>0</v>
      </c>
      <c r="M1459" s="74">
        <v>0</v>
      </c>
      <c r="N1459" s="74">
        <v>0</v>
      </c>
    </row>
    <row r="1460" spans="1:14" x14ac:dyDescent="0.25">
      <c r="A1460" t="e">
        <f>VLOOKUP(VALUE(RIGHT(B1460,4)),'Waste Lookups'!$B$1:$C$295,2,FALSE)</f>
        <v>#N/A</v>
      </c>
      <c r="B1460" s="74" t="s">
        <v>3613</v>
      </c>
      <c r="C1460" s="74" t="s">
        <v>3614</v>
      </c>
      <c r="D1460" s="74">
        <v>12.542121212121213</v>
      </c>
      <c r="E1460" s="74">
        <v>0.46127999999999991</v>
      </c>
      <c r="F1460" s="74">
        <v>0</v>
      </c>
      <c r="G1460" s="74">
        <v>0</v>
      </c>
      <c r="H1460" s="74">
        <v>0</v>
      </c>
      <c r="I1460" s="74"/>
      <c r="J1460" s="74">
        <v>21.719368637331378</v>
      </c>
      <c r="K1460" s="74">
        <v>0.79880509808386568</v>
      </c>
      <c r="L1460" s="74">
        <v>0</v>
      </c>
      <c r="M1460" s="74">
        <v>0</v>
      </c>
      <c r="N1460" s="74">
        <v>0</v>
      </c>
    </row>
    <row r="1461" spans="1:14" x14ac:dyDescent="0.25">
      <c r="A1461" t="e">
        <f>VLOOKUP(VALUE(RIGHT(B1461,4)),'Waste Lookups'!$B$1:$C$295,2,FALSE)</f>
        <v>#N/A</v>
      </c>
      <c r="B1461" s="74" t="s">
        <v>3615</v>
      </c>
      <c r="C1461" s="74" t="s">
        <v>3616</v>
      </c>
      <c r="D1461" s="74">
        <v>20.808666666666664</v>
      </c>
      <c r="E1461" s="74">
        <v>0.59129999999999994</v>
      </c>
      <c r="F1461" s="74">
        <v>0</v>
      </c>
      <c r="G1461" s="74">
        <v>0</v>
      </c>
      <c r="H1461" s="74">
        <v>0</v>
      </c>
      <c r="I1461" s="74"/>
      <c r="J1461" s="74">
        <v>20.705921520532652</v>
      </c>
      <c r="K1461" s="74">
        <v>0.58838038934535086</v>
      </c>
      <c r="L1461" s="74">
        <v>0</v>
      </c>
      <c r="M1461" s="74">
        <v>0</v>
      </c>
      <c r="N1461" s="74">
        <v>0</v>
      </c>
    </row>
    <row r="1462" spans="1:14" x14ac:dyDescent="0.25">
      <c r="A1462" t="e">
        <f>VLOOKUP(VALUE(RIGHT(B1462,4)),'Waste Lookups'!$B$1:$C$295,2,FALSE)</f>
        <v>#N/A</v>
      </c>
      <c r="B1462" s="74" t="s">
        <v>3617</v>
      </c>
      <c r="C1462" s="74" t="s">
        <v>3618</v>
      </c>
      <c r="D1462" s="74">
        <v>3.4144242424242424</v>
      </c>
      <c r="E1462" s="74">
        <v>0</v>
      </c>
      <c r="F1462" s="74">
        <v>0</v>
      </c>
      <c r="G1462" s="74">
        <v>0</v>
      </c>
      <c r="H1462" s="74">
        <v>0</v>
      </c>
      <c r="I1462" s="74"/>
      <c r="J1462" s="74">
        <v>16.32063888888889</v>
      </c>
      <c r="K1462" s="74">
        <v>0</v>
      </c>
      <c r="L1462" s="74">
        <v>0</v>
      </c>
      <c r="M1462" s="74">
        <v>0</v>
      </c>
      <c r="N1462" s="74">
        <v>0</v>
      </c>
    </row>
    <row r="1463" spans="1:14" x14ac:dyDescent="0.25">
      <c r="A1463" t="e">
        <f>VLOOKUP(VALUE(RIGHT(B1463,4)),'Waste Lookups'!$B$1:$C$295,2,FALSE)</f>
        <v>#N/A</v>
      </c>
      <c r="B1463" s="74" t="s">
        <v>3619</v>
      </c>
      <c r="C1463" s="74" t="s">
        <v>3620</v>
      </c>
      <c r="D1463" s="74">
        <v>25.301242424242428</v>
      </c>
      <c r="E1463" s="74">
        <v>1.13856</v>
      </c>
      <c r="F1463" s="74">
        <v>0</v>
      </c>
      <c r="G1463" s="74">
        <v>0</v>
      </c>
      <c r="H1463" s="74">
        <v>0</v>
      </c>
      <c r="I1463" s="74"/>
      <c r="J1463" s="74">
        <v>25.935852250114603</v>
      </c>
      <c r="K1463" s="74">
        <v>1.1671175447730866</v>
      </c>
      <c r="L1463" s="74">
        <v>0</v>
      </c>
      <c r="M1463" s="74">
        <v>0</v>
      </c>
      <c r="N1463" s="74">
        <v>0</v>
      </c>
    </row>
    <row r="1464" spans="1:14" x14ac:dyDescent="0.25">
      <c r="A1464" t="e">
        <f>VLOOKUP(VALUE(RIGHT(B1464,4)),'Waste Lookups'!$B$1:$C$295,2,FALSE)</f>
        <v>#N/A</v>
      </c>
      <c r="B1464" s="74" t="s">
        <v>3621</v>
      </c>
      <c r="C1464" s="74" t="s">
        <v>3622</v>
      </c>
      <c r="D1464" s="74">
        <v>20.914484848484843</v>
      </c>
      <c r="E1464" s="74">
        <v>0</v>
      </c>
      <c r="F1464" s="74">
        <v>0</v>
      </c>
      <c r="G1464" s="74">
        <v>0</v>
      </c>
      <c r="H1464" s="74">
        <v>0</v>
      </c>
      <c r="I1464" s="74"/>
      <c r="J1464" s="74">
        <v>17.241972222222223</v>
      </c>
      <c r="K1464" s="74">
        <v>0</v>
      </c>
      <c r="L1464" s="74">
        <v>0</v>
      </c>
      <c r="M1464" s="74">
        <v>0</v>
      </c>
      <c r="N1464" s="74">
        <v>0</v>
      </c>
    </row>
    <row r="1465" spans="1:14" x14ac:dyDescent="0.25">
      <c r="A1465" t="e">
        <f>VLOOKUP(VALUE(RIGHT(B1465,4)),'Waste Lookups'!$B$1:$C$295,2,FALSE)</f>
        <v>#N/A</v>
      </c>
      <c r="B1465" s="74" t="s">
        <v>3623</v>
      </c>
      <c r="C1465" s="74" t="s">
        <v>3624</v>
      </c>
      <c r="D1465" s="74">
        <v>0</v>
      </c>
      <c r="E1465" s="74">
        <v>0</v>
      </c>
      <c r="F1465" s="74">
        <v>0</v>
      </c>
      <c r="G1465" s="74">
        <v>0</v>
      </c>
      <c r="H1465" s="74">
        <v>0</v>
      </c>
      <c r="I1465" s="74"/>
      <c r="J1465" s="74">
        <v>0</v>
      </c>
      <c r="K1465" s="74">
        <v>0</v>
      </c>
      <c r="L1465" s="74">
        <v>0</v>
      </c>
      <c r="M1465" s="74">
        <v>0</v>
      </c>
      <c r="N1465" s="74">
        <v>0</v>
      </c>
    </row>
    <row r="1466" spans="1:14" x14ac:dyDescent="0.25">
      <c r="A1466" t="e">
        <f>VLOOKUP(VALUE(RIGHT(B1466,4)),'Waste Lookups'!$B$1:$C$295,2,FALSE)</f>
        <v>#N/A</v>
      </c>
      <c r="B1466" s="74" t="s">
        <v>3625</v>
      </c>
      <c r="C1466" s="74" t="s">
        <v>3626</v>
      </c>
      <c r="D1466" s="74">
        <v>0</v>
      </c>
      <c r="E1466" s="74">
        <v>0</v>
      </c>
      <c r="F1466" s="74">
        <v>0</v>
      </c>
      <c r="G1466" s="74">
        <v>0</v>
      </c>
      <c r="H1466" s="74">
        <v>0</v>
      </c>
      <c r="I1466" s="74"/>
      <c r="J1466" s="74">
        <v>0</v>
      </c>
      <c r="K1466" s="74">
        <v>0</v>
      </c>
      <c r="L1466" s="74">
        <v>0</v>
      </c>
      <c r="M1466" s="74">
        <v>0</v>
      </c>
      <c r="N1466" s="74">
        <v>0</v>
      </c>
    </row>
    <row r="1467" spans="1:14" x14ac:dyDescent="0.25">
      <c r="A1467" t="e">
        <f>VLOOKUP(VALUE(RIGHT(B1467,4)),'Waste Lookups'!$B$1:$C$295,2,FALSE)</f>
        <v>#N/A</v>
      </c>
      <c r="B1467" s="74" t="s">
        <v>3627</v>
      </c>
      <c r="C1467" s="74" t="s">
        <v>3628</v>
      </c>
      <c r="D1467" s="74">
        <v>0</v>
      </c>
      <c r="E1467" s="74">
        <v>0</v>
      </c>
      <c r="F1467" s="74">
        <v>0</v>
      </c>
      <c r="G1467" s="74">
        <v>0</v>
      </c>
      <c r="H1467" s="74">
        <v>0</v>
      </c>
      <c r="I1467" s="74"/>
      <c r="J1467" s="74">
        <v>0</v>
      </c>
      <c r="K1467" s="74">
        <v>0</v>
      </c>
      <c r="L1467" s="74">
        <v>0</v>
      </c>
      <c r="M1467" s="74">
        <v>0</v>
      </c>
      <c r="N1467" s="74">
        <v>0</v>
      </c>
    </row>
    <row r="1468" spans="1:14" x14ac:dyDescent="0.25">
      <c r="A1468" t="e">
        <f>VLOOKUP(VALUE(RIGHT(B1468,4)),'Waste Lookups'!$B$1:$C$295,2,FALSE)</f>
        <v>#N/A</v>
      </c>
      <c r="B1468" s="74" t="s">
        <v>3629</v>
      </c>
      <c r="C1468" s="74" t="s">
        <v>3630</v>
      </c>
      <c r="D1468" s="74">
        <v>0.13333333333333333</v>
      </c>
      <c r="E1468" s="74">
        <v>0</v>
      </c>
      <c r="F1468" s="74">
        <v>0</v>
      </c>
      <c r="G1468" s="74">
        <v>0</v>
      </c>
      <c r="H1468" s="74">
        <v>0</v>
      </c>
      <c r="I1468" s="74"/>
      <c r="J1468" s="74">
        <v>0.60555555555555551</v>
      </c>
      <c r="K1468" s="74">
        <v>0</v>
      </c>
      <c r="L1468" s="74">
        <v>0</v>
      </c>
      <c r="M1468" s="74">
        <v>0</v>
      </c>
      <c r="N1468" s="74">
        <v>0</v>
      </c>
    </row>
    <row r="1469" spans="1:14" x14ac:dyDescent="0.25">
      <c r="A1469" t="e">
        <f>VLOOKUP(VALUE(RIGHT(B1469,4)),'Waste Lookups'!$B$1:$C$295,2,FALSE)</f>
        <v>#N/A</v>
      </c>
      <c r="B1469" s="74" t="s">
        <v>3631</v>
      </c>
      <c r="C1469" s="74" t="s">
        <v>3632</v>
      </c>
      <c r="D1469" s="74">
        <v>0</v>
      </c>
      <c r="E1469" s="74">
        <v>0</v>
      </c>
      <c r="F1469" s="74">
        <v>0</v>
      </c>
      <c r="G1469" s="74">
        <v>0</v>
      </c>
      <c r="H1469" s="74">
        <v>0</v>
      </c>
      <c r="I1469" s="74"/>
      <c r="J1469" s="74">
        <v>0</v>
      </c>
      <c r="K1469" s="74">
        <v>0</v>
      </c>
      <c r="L1469" s="74">
        <v>0</v>
      </c>
      <c r="M1469" s="74">
        <v>0</v>
      </c>
      <c r="N1469" s="74">
        <v>0</v>
      </c>
    </row>
    <row r="1470" spans="1:14" x14ac:dyDescent="0.25">
      <c r="A1470" t="e">
        <f>VLOOKUP(VALUE(RIGHT(B1470,4)),'Waste Lookups'!$B$1:$C$295,2,FALSE)</f>
        <v>#N/A</v>
      </c>
      <c r="B1470" s="74" t="s">
        <v>3633</v>
      </c>
      <c r="C1470" s="74" t="s">
        <v>3634</v>
      </c>
      <c r="D1470" s="74">
        <v>18.400606060606059</v>
      </c>
      <c r="E1470" s="74">
        <v>0</v>
      </c>
      <c r="F1470" s="74">
        <v>0</v>
      </c>
      <c r="G1470" s="74">
        <v>0</v>
      </c>
      <c r="H1470" s="74">
        <v>0</v>
      </c>
      <c r="I1470" s="74"/>
      <c r="J1470" s="74">
        <v>0</v>
      </c>
      <c r="K1470" s="74">
        <v>0</v>
      </c>
      <c r="L1470" s="74">
        <v>0</v>
      </c>
      <c r="M1470" s="74">
        <v>0</v>
      </c>
      <c r="N1470" s="74">
        <v>0</v>
      </c>
    </row>
    <row r="1471" spans="1:14" x14ac:dyDescent="0.25">
      <c r="A1471" t="e">
        <f>VLOOKUP(VALUE(RIGHT(B1471,4)),'Waste Lookups'!$B$1:$C$295,2,FALSE)</f>
        <v>#N/A</v>
      </c>
      <c r="B1471" s="74" t="s">
        <v>3635</v>
      </c>
      <c r="C1471" s="74" t="s">
        <v>3636</v>
      </c>
      <c r="D1471" s="74">
        <v>0</v>
      </c>
      <c r="E1471" s="74">
        <v>0</v>
      </c>
      <c r="F1471" s="74">
        <v>0</v>
      </c>
      <c r="G1471" s="74">
        <v>0</v>
      </c>
      <c r="H1471" s="74">
        <v>0</v>
      </c>
      <c r="I1471" s="74"/>
      <c r="J1471" s="74">
        <v>0</v>
      </c>
      <c r="K1471" s="74">
        <v>0</v>
      </c>
      <c r="L1471" s="74">
        <v>0</v>
      </c>
      <c r="M1471" s="74">
        <v>0</v>
      </c>
      <c r="N1471" s="74">
        <v>0</v>
      </c>
    </row>
    <row r="1472" spans="1:14" x14ac:dyDescent="0.25">
      <c r="A1472" t="e">
        <f>VLOOKUP(VALUE(RIGHT(B1472,4)),'Waste Lookups'!$B$1:$C$295,2,FALSE)</f>
        <v>#N/A</v>
      </c>
      <c r="B1472" s="74" t="s">
        <v>3637</v>
      </c>
      <c r="C1472" s="74" t="s">
        <v>3638</v>
      </c>
      <c r="D1472" s="74">
        <v>26.362454545454547</v>
      </c>
      <c r="E1472" s="74">
        <v>0</v>
      </c>
      <c r="F1472" s="74">
        <v>0</v>
      </c>
      <c r="G1472" s="74">
        <v>0</v>
      </c>
      <c r="H1472" s="74">
        <v>0</v>
      </c>
      <c r="I1472" s="74"/>
      <c r="J1472" s="74">
        <v>0</v>
      </c>
      <c r="K1472" s="74">
        <v>0</v>
      </c>
      <c r="L1472" s="74">
        <v>0</v>
      </c>
      <c r="M1472" s="74">
        <v>0</v>
      </c>
      <c r="N1472" s="74">
        <v>0</v>
      </c>
    </row>
    <row r="1473" spans="1:14" x14ac:dyDescent="0.25">
      <c r="A1473" t="e">
        <f>VLOOKUP(VALUE(RIGHT(B1473,4)),'Waste Lookups'!$B$1:$C$295,2,FALSE)</f>
        <v>#N/A</v>
      </c>
      <c r="B1473" s="74" t="s">
        <v>3639</v>
      </c>
      <c r="C1473" s="74" t="s">
        <v>3640</v>
      </c>
      <c r="D1473" s="74">
        <v>20.695212121212119</v>
      </c>
      <c r="E1473" s="74">
        <v>0.25140000000000001</v>
      </c>
      <c r="F1473" s="74">
        <v>0</v>
      </c>
      <c r="G1473" s="74">
        <v>0</v>
      </c>
      <c r="H1473" s="74">
        <v>0</v>
      </c>
      <c r="I1473" s="74"/>
      <c r="J1473" s="74">
        <v>0.3470651232627468</v>
      </c>
      <c r="K1473" s="74">
        <v>4.2160559397612105E-3</v>
      </c>
      <c r="L1473" s="74">
        <v>0</v>
      </c>
      <c r="M1473" s="74">
        <v>0</v>
      </c>
      <c r="N1473" s="74">
        <v>0</v>
      </c>
    </row>
    <row r="1474" spans="1:14" x14ac:dyDescent="0.25">
      <c r="A1474" t="e">
        <f>VLOOKUP(VALUE(RIGHT(B1474,4)),'Waste Lookups'!$B$1:$C$295,2,FALSE)</f>
        <v>#N/A</v>
      </c>
      <c r="B1474" s="74" t="s">
        <v>3641</v>
      </c>
      <c r="C1474" s="74" t="s">
        <v>3642</v>
      </c>
      <c r="D1474" s="74">
        <v>29.4829090909091</v>
      </c>
      <c r="E1474" s="74">
        <v>0</v>
      </c>
      <c r="F1474" s="74">
        <v>0</v>
      </c>
      <c r="G1474" s="74">
        <v>0</v>
      </c>
      <c r="H1474" s="74">
        <v>0</v>
      </c>
      <c r="I1474" s="74"/>
      <c r="J1474" s="74">
        <v>0</v>
      </c>
      <c r="K1474" s="74">
        <v>0</v>
      </c>
      <c r="L1474" s="74">
        <v>0</v>
      </c>
      <c r="M1474" s="74">
        <v>0</v>
      </c>
      <c r="N1474" s="74">
        <v>0</v>
      </c>
    </row>
    <row r="1475" spans="1:14" x14ac:dyDescent="0.25">
      <c r="A1475" t="str">
        <f>VLOOKUP(VALUE(RIGHT(B1475,4)),'Waste Lookups'!$B$1:$C$295,2,FALSE)</f>
        <v>Lower Marsh</v>
      </c>
      <c r="B1475" s="74" t="s">
        <v>728</v>
      </c>
      <c r="C1475" s="74" t="s">
        <v>3643</v>
      </c>
      <c r="D1475" s="74">
        <v>0</v>
      </c>
      <c r="E1475" s="74">
        <v>108.33611999999999</v>
      </c>
      <c r="F1475" s="74">
        <v>0</v>
      </c>
      <c r="G1475" s="74">
        <v>0</v>
      </c>
      <c r="H1475" s="74">
        <v>0</v>
      </c>
      <c r="I1475" s="74"/>
      <c r="J1475" s="74">
        <v>0</v>
      </c>
      <c r="K1475" s="74">
        <v>115.12545000000001</v>
      </c>
      <c r="L1475" s="74">
        <v>0</v>
      </c>
      <c r="M1475" s="74">
        <v>0</v>
      </c>
      <c r="N1475" s="74">
        <v>0</v>
      </c>
    </row>
    <row r="1476" spans="1:14" x14ac:dyDescent="0.25">
      <c r="A1476" t="e">
        <f>VLOOKUP(VALUE(RIGHT(B1476,4)),'Waste Lookups'!$B$1:$C$295,2,FALSE)</f>
        <v>#N/A</v>
      </c>
      <c r="B1476" s="74" t="s">
        <v>3644</v>
      </c>
      <c r="C1476" s="74" t="s">
        <v>3645</v>
      </c>
      <c r="D1476" s="74">
        <v>15.195000000000002</v>
      </c>
      <c r="E1476" s="74">
        <v>9.2665199999999999</v>
      </c>
      <c r="F1476" s="74">
        <v>0</v>
      </c>
      <c r="G1476" s="74">
        <v>0</v>
      </c>
      <c r="H1476" s="74">
        <v>0</v>
      </c>
      <c r="I1476" s="74"/>
      <c r="J1476" s="74">
        <v>16.586624536689047</v>
      </c>
      <c r="K1476" s="74">
        <v>10.115188417355693</v>
      </c>
      <c r="L1476" s="74">
        <v>0</v>
      </c>
      <c r="M1476" s="74">
        <v>0</v>
      </c>
      <c r="N1476" s="74">
        <v>0</v>
      </c>
    </row>
    <row r="1477" spans="1:14" x14ac:dyDescent="0.25">
      <c r="A1477" t="e">
        <f>VLOOKUP(VALUE(RIGHT(B1477,4)),'Waste Lookups'!$B$1:$C$295,2,FALSE)</f>
        <v>#N/A</v>
      </c>
      <c r="B1477" s="74" t="s">
        <v>3646</v>
      </c>
      <c r="C1477" s="74" t="s">
        <v>3647</v>
      </c>
      <c r="D1477" s="74">
        <v>13.268151515151514</v>
      </c>
      <c r="E1477" s="74">
        <v>2.4081000000000001</v>
      </c>
      <c r="F1477" s="74">
        <v>0</v>
      </c>
      <c r="G1477" s="74">
        <v>0</v>
      </c>
      <c r="H1477" s="74">
        <v>0</v>
      </c>
      <c r="I1477" s="74"/>
      <c r="J1477" s="74">
        <v>10.614046077960301</v>
      </c>
      <c r="K1477" s="74">
        <v>1.9263937656385988</v>
      </c>
      <c r="L1477" s="74">
        <v>0</v>
      </c>
      <c r="M1477" s="74">
        <v>0</v>
      </c>
      <c r="N1477" s="74">
        <v>0</v>
      </c>
    </row>
    <row r="1478" spans="1:14" x14ac:dyDescent="0.25">
      <c r="A1478" t="e">
        <f>VLOOKUP(VALUE(RIGHT(B1478,4)),'Waste Lookups'!$B$1:$C$295,2,FALSE)</f>
        <v>#N/A</v>
      </c>
      <c r="B1478" s="74" t="s">
        <v>3648</v>
      </c>
      <c r="C1478" s="74" t="s">
        <v>3649</v>
      </c>
      <c r="D1478" s="74">
        <v>11.351060606060607</v>
      </c>
      <c r="E1478" s="74">
        <v>4.0789200000000001</v>
      </c>
      <c r="F1478" s="74">
        <v>0</v>
      </c>
      <c r="G1478" s="74">
        <v>0</v>
      </c>
      <c r="H1478" s="74">
        <v>0</v>
      </c>
      <c r="I1478" s="74"/>
      <c r="J1478" s="74">
        <v>11.149751916407887</v>
      </c>
      <c r="K1478" s="74">
        <v>4.0065812055123855</v>
      </c>
      <c r="L1478" s="74">
        <v>0</v>
      </c>
      <c r="M1478" s="74">
        <v>0</v>
      </c>
      <c r="N1478" s="74">
        <v>0</v>
      </c>
    </row>
    <row r="1479" spans="1:14" x14ac:dyDescent="0.25">
      <c r="A1479" t="e">
        <f>VLOOKUP(VALUE(RIGHT(B1479,4)),'Waste Lookups'!$B$1:$C$295,2,FALSE)</f>
        <v>#N/A</v>
      </c>
      <c r="B1479" s="74" t="s">
        <v>3650</v>
      </c>
      <c r="C1479" s="74" t="s">
        <v>3651</v>
      </c>
      <c r="D1479" s="74">
        <v>5.213909090909091</v>
      </c>
      <c r="E1479" s="74">
        <v>0</v>
      </c>
      <c r="F1479" s="74">
        <v>0</v>
      </c>
      <c r="G1479" s="74">
        <v>0</v>
      </c>
      <c r="H1479" s="74">
        <v>0</v>
      </c>
      <c r="I1479" s="74"/>
      <c r="J1479" s="74">
        <v>10.657027777777778</v>
      </c>
      <c r="K1479" s="74">
        <v>0</v>
      </c>
      <c r="L1479" s="74">
        <v>0</v>
      </c>
      <c r="M1479" s="74">
        <v>0</v>
      </c>
      <c r="N1479" s="74">
        <v>0</v>
      </c>
    </row>
    <row r="1480" spans="1:14" x14ac:dyDescent="0.25">
      <c r="A1480" t="e">
        <f>VLOOKUP(VALUE(RIGHT(B1480,4)),'Waste Lookups'!$B$1:$C$295,2,FALSE)</f>
        <v>#N/A</v>
      </c>
      <c r="B1480" s="74" t="s">
        <v>3652</v>
      </c>
      <c r="C1480" s="74" t="s">
        <v>3653</v>
      </c>
      <c r="D1480" s="74">
        <v>0</v>
      </c>
      <c r="E1480" s="74">
        <v>0</v>
      </c>
      <c r="F1480" s="74">
        <v>0</v>
      </c>
      <c r="G1480" s="74">
        <v>0</v>
      </c>
      <c r="H1480" s="74">
        <v>0</v>
      </c>
      <c r="I1480" s="74"/>
      <c r="J1480" s="74">
        <v>0</v>
      </c>
      <c r="K1480" s="74">
        <v>0</v>
      </c>
      <c r="L1480" s="74">
        <v>0</v>
      </c>
      <c r="M1480" s="74">
        <v>0</v>
      </c>
      <c r="N1480" s="74">
        <v>0</v>
      </c>
    </row>
    <row r="1481" spans="1:14" x14ac:dyDescent="0.25">
      <c r="A1481" t="e">
        <f>VLOOKUP(VALUE(RIGHT(B1481,4)),'Waste Lookups'!$B$1:$C$295,2,FALSE)</f>
        <v>#N/A</v>
      </c>
      <c r="B1481" s="74" t="s">
        <v>3654</v>
      </c>
      <c r="C1481" s="74" t="s">
        <v>3655</v>
      </c>
      <c r="D1481" s="74">
        <v>0</v>
      </c>
      <c r="E1481" s="74">
        <v>0</v>
      </c>
      <c r="F1481" s="74">
        <v>0</v>
      </c>
      <c r="G1481" s="74">
        <v>0</v>
      </c>
      <c r="H1481" s="74">
        <v>0</v>
      </c>
      <c r="I1481" s="74"/>
      <c r="J1481" s="74">
        <v>0</v>
      </c>
      <c r="K1481" s="74">
        <v>0</v>
      </c>
      <c r="L1481" s="74">
        <v>0</v>
      </c>
      <c r="M1481" s="74">
        <v>0</v>
      </c>
      <c r="N1481" s="74">
        <v>0</v>
      </c>
    </row>
    <row r="1482" spans="1:14" x14ac:dyDescent="0.25">
      <c r="A1482" t="e">
        <f>VLOOKUP(VALUE(RIGHT(B1482,4)),'Waste Lookups'!$B$1:$C$295,2,FALSE)</f>
        <v>#N/A</v>
      </c>
      <c r="B1482" s="74" t="s">
        <v>3656</v>
      </c>
      <c r="C1482" s="74" t="s">
        <v>3657</v>
      </c>
      <c r="D1482" s="74">
        <v>16.166484848484846</v>
      </c>
      <c r="E1482" s="74">
        <v>7.1293199999999999</v>
      </c>
      <c r="F1482" s="74">
        <v>0</v>
      </c>
      <c r="G1482" s="74">
        <v>0</v>
      </c>
      <c r="H1482" s="74">
        <v>0</v>
      </c>
      <c r="I1482" s="74"/>
      <c r="J1482" s="74">
        <v>12.737905265920881</v>
      </c>
      <c r="K1482" s="74">
        <v>5.61733757347666</v>
      </c>
      <c r="L1482" s="74">
        <v>0</v>
      </c>
      <c r="M1482" s="74">
        <v>0</v>
      </c>
      <c r="N1482" s="74">
        <v>0</v>
      </c>
    </row>
    <row r="1483" spans="1:14" x14ac:dyDescent="0.25">
      <c r="A1483" t="e">
        <f>VLOOKUP(VALUE(RIGHT(B1483,4)),'Waste Lookups'!$B$1:$C$295,2,FALSE)</f>
        <v>#N/A</v>
      </c>
      <c r="B1483" s="74" t="s">
        <v>3658</v>
      </c>
      <c r="C1483" s="74" t="s">
        <v>3659</v>
      </c>
      <c r="D1483" s="74">
        <v>1.7695151515151517</v>
      </c>
      <c r="E1483" s="74">
        <v>0</v>
      </c>
      <c r="F1483" s="74">
        <v>0</v>
      </c>
      <c r="G1483" s="74">
        <v>0</v>
      </c>
      <c r="H1483" s="74">
        <v>0</v>
      </c>
      <c r="I1483" s="74"/>
      <c r="J1483" s="74">
        <v>8.3333333333333343E-2</v>
      </c>
      <c r="K1483" s="74">
        <v>0</v>
      </c>
      <c r="L1483" s="74">
        <v>0</v>
      </c>
      <c r="M1483" s="74">
        <v>0</v>
      </c>
      <c r="N1483" s="74">
        <v>0</v>
      </c>
    </row>
    <row r="1484" spans="1:14" x14ac:dyDescent="0.25">
      <c r="A1484" t="e">
        <f>VLOOKUP(VALUE(RIGHT(B1484,4)),'Waste Lookups'!$B$1:$C$295,2,FALSE)</f>
        <v>#N/A</v>
      </c>
      <c r="B1484" s="74" t="s">
        <v>3660</v>
      </c>
      <c r="C1484" s="74" t="s">
        <v>3661</v>
      </c>
      <c r="D1484" s="74">
        <v>0</v>
      </c>
      <c r="E1484" s="74">
        <v>1.5854399999999997</v>
      </c>
      <c r="F1484" s="74">
        <v>0</v>
      </c>
      <c r="G1484" s="74">
        <v>0</v>
      </c>
      <c r="H1484" s="74">
        <v>0</v>
      </c>
      <c r="I1484" s="74"/>
      <c r="J1484" s="74">
        <v>0</v>
      </c>
      <c r="K1484" s="74">
        <v>4.5845249999999993</v>
      </c>
      <c r="L1484" s="74">
        <v>0</v>
      </c>
      <c r="M1484" s="74">
        <v>0</v>
      </c>
      <c r="N1484" s="74">
        <v>0</v>
      </c>
    </row>
    <row r="1485" spans="1:14" x14ac:dyDescent="0.25">
      <c r="A1485" t="str">
        <f>VLOOKUP(VALUE(RIGHT(B1485,4)),'Waste Lookups'!$B$1:$C$295,2,FALSE)</f>
        <v>Cantilever House</v>
      </c>
      <c r="B1485" s="74" t="s">
        <v>729</v>
      </c>
      <c r="C1485" s="74" t="s">
        <v>3662</v>
      </c>
      <c r="D1485" s="74">
        <v>6.8667272727272728</v>
      </c>
      <c r="E1485" s="74">
        <v>13.271939999999999</v>
      </c>
      <c r="F1485" s="74">
        <v>0</v>
      </c>
      <c r="G1485" s="74">
        <v>0</v>
      </c>
      <c r="H1485" s="74">
        <v>0</v>
      </c>
      <c r="I1485" s="74"/>
      <c r="J1485" s="74">
        <v>6.8119747778589144</v>
      </c>
      <c r="K1485" s="74">
        <v>13.166114939839346</v>
      </c>
      <c r="L1485" s="74">
        <v>0</v>
      </c>
      <c r="M1485" s="74">
        <v>0</v>
      </c>
      <c r="N1485" s="74">
        <v>0</v>
      </c>
    </row>
    <row r="1486" spans="1:14" x14ac:dyDescent="0.25">
      <c r="A1486" t="e">
        <f>VLOOKUP(VALUE(RIGHT(B1486,4)),'Waste Lookups'!$B$1:$C$295,2,FALSE)</f>
        <v>#N/A</v>
      </c>
      <c r="B1486" s="74" t="s">
        <v>3663</v>
      </c>
      <c r="C1486" s="74" t="s">
        <v>3664</v>
      </c>
      <c r="D1486" s="74">
        <v>14.598121212121212</v>
      </c>
      <c r="E1486" s="74">
        <v>4.8269400000000005</v>
      </c>
      <c r="F1486" s="74">
        <v>0</v>
      </c>
      <c r="G1486" s="74">
        <v>0</v>
      </c>
      <c r="H1486" s="74">
        <v>0</v>
      </c>
      <c r="I1486" s="74"/>
      <c r="J1486" s="74">
        <v>15.95190624886974</v>
      </c>
      <c r="K1486" s="74">
        <v>5.2745756272379118</v>
      </c>
      <c r="L1486" s="74">
        <v>0</v>
      </c>
      <c r="M1486" s="74">
        <v>0</v>
      </c>
      <c r="N1486" s="74">
        <v>0</v>
      </c>
    </row>
    <row r="1487" spans="1:14" x14ac:dyDescent="0.25">
      <c r="A1487" t="e">
        <f>VLOOKUP(VALUE(RIGHT(B1487,4)),'Waste Lookups'!$B$1:$C$295,2,FALSE)</f>
        <v>#N/A</v>
      </c>
      <c r="B1487" s="74" t="s">
        <v>3665</v>
      </c>
      <c r="C1487" s="74" t="s">
        <v>3666</v>
      </c>
      <c r="D1487" s="74">
        <v>19.254606060606065</v>
      </c>
      <c r="E1487" s="74">
        <v>6.2881799999999997</v>
      </c>
      <c r="F1487" s="74">
        <v>0</v>
      </c>
      <c r="G1487" s="74">
        <v>0</v>
      </c>
      <c r="H1487" s="74">
        <v>0</v>
      </c>
      <c r="I1487" s="74"/>
      <c r="J1487" s="74">
        <v>8.4663420613959044</v>
      </c>
      <c r="K1487" s="74">
        <v>2.7649427184361084</v>
      </c>
      <c r="L1487" s="74">
        <v>0</v>
      </c>
      <c r="M1487" s="74">
        <v>0</v>
      </c>
      <c r="N1487" s="74">
        <v>0</v>
      </c>
    </row>
    <row r="1488" spans="1:14" x14ac:dyDescent="0.25">
      <c r="A1488" t="e">
        <f>VLOOKUP(VALUE(RIGHT(B1488,4)),'Waste Lookups'!$B$1:$C$295,2,FALSE)</f>
        <v>#N/A</v>
      </c>
      <c r="B1488" s="74" t="s">
        <v>3667</v>
      </c>
      <c r="C1488" s="74" t="s">
        <v>3668</v>
      </c>
      <c r="D1488" s="74">
        <v>3.9121212121212121</v>
      </c>
      <c r="E1488" s="74">
        <v>2.1960000000000002</v>
      </c>
      <c r="F1488" s="74">
        <v>0</v>
      </c>
      <c r="G1488" s="74">
        <v>0</v>
      </c>
      <c r="H1488" s="74">
        <v>0</v>
      </c>
      <c r="I1488" s="74"/>
      <c r="J1488" s="74">
        <v>6.3757895795614569E-2</v>
      </c>
      <c r="K1488" s="74">
        <v>3.5789366324683158E-2</v>
      </c>
      <c r="L1488" s="74">
        <v>0</v>
      </c>
      <c r="M1488" s="74">
        <v>0</v>
      </c>
      <c r="N1488" s="74">
        <v>0</v>
      </c>
    </row>
    <row r="1489" spans="1:14" x14ac:dyDescent="0.25">
      <c r="A1489" t="e">
        <f>VLOOKUP(VALUE(RIGHT(B1489,4)),'Waste Lookups'!$B$1:$C$295,2,FALSE)</f>
        <v>#N/A</v>
      </c>
      <c r="B1489" s="74" t="s">
        <v>3669</v>
      </c>
      <c r="C1489" s="74" t="s">
        <v>3670</v>
      </c>
      <c r="D1489" s="74">
        <v>27.921606060606059</v>
      </c>
      <c r="E1489" s="74">
        <v>16.743119999999998</v>
      </c>
      <c r="F1489" s="74">
        <v>0</v>
      </c>
      <c r="G1489" s="74">
        <v>0</v>
      </c>
      <c r="H1489" s="74">
        <v>0</v>
      </c>
      <c r="I1489" s="74"/>
      <c r="J1489" s="74">
        <v>21.758351088605945</v>
      </c>
      <c r="K1489" s="74">
        <v>13.047339844560232</v>
      </c>
      <c r="L1489" s="74">
        <v>0</v>
      </c>
      <c r="M1489" s="74">
        <v>0</v>
      </c>
      <c r="N1489" s="74">
        <v>0</v>
      </c>
    </row>
    <row r="1490" spans="1:14" x14ac:dyDescent="0.25">
      <c r="A1490" t="e">
        <f>VLOOKUP(VALUE(RIGHT(B1490,4)),'Waste Lookups'!$B$1:$C$295,2,FALSE)</f>
        <v>#N/A</v>
      </c>
      <c r="B1490" s="74" t="s">
        <v>3671</v>
      </c>
      <c r="C1490" s="74" t="s">
        <v>3672</v>
      </c>
      <c r="D1490" s="74">
        <v>1.4442727272727274</v>
      </c>
      <c r="E1490" s="74">
        <v>12.3384</v>
      </c>
      <c r="F1490" s="74">
        <v>0</v>
      </c>
      <c r="G1490" s="74">
        <v>0</v>
      </c>
      <c r="H1490" s="74">
        <v>0</v>
      </c>
      <c r="I1490" s="74"/>
      <c r="J1490" s="74">
        <v>0.3826015208520035</v>
      </c>
      <c r="K1490" s="74">
        <v>3.2685589887130329</v>
      </c>
      <c r="L1490" s="74">
        <v>0</v>
      </c>
      <c r="M1490" s="74">
        <v>0</v>
      </c>
      <c r="N1490" s="74">
        <v>0</v>
      </c>
    </row>
    <row r="1491" spans="1:14" x14ac:dyDescent="0.25">
      <c r="A1491" t="e">
        <f>VLOOKUP(VALUE(RIGHT(B1491,4)),'Waste Lookups'!$B$1:$C$295,2,FALSE)</f>
        <v>#N/A</v>
      </c>
      <c r="B1491" s="74" t="s">
        <v>3673</v>
      </c>
      <c r="C1491" s="74" t="s">
        <v>3674</v>
      </c>
      <c r="D1491" s="74">
        <v>18.528242424242425</v>
      </c>
      <c r="E1491" s="74">
        <v>15.4404</v>
      </c>
      <c r="F1491" s="74">
        <v>0</v>
      </c>
      <c r="G1491" s="74">
        <v>0</v>
      </c>
      <c r="H1491" s="74">
        <v>0</v>
      </c>
      <c r="I1491" s="74"/>
      <c r="J1491" s="74">
        <v>14.839425865986062</v>
      </c>
      <c r="K1491" s="74">
        <v>12.366346785347591</v>
      </c>
      <c r="L1491" s="74">
        <v>0</v>
      </c>
      <c r="M1491" s="74">
        <v>0</v>
      </c>
      <c r="N1491" s="74">
        <v>0</v>
      </c>
    </row>
    <row r="1492" spans="1:14" x14ac:dyDescent="0.25">
      <c r="A1492" t="e">
        <f>VLOOKUP(VALUE(RIGHT(B1492,4)),'Waste Lookups'!$B$1:$C$295,2,FALSE)</f>
        <v>#N/A</v>
      </c>
      <c r="B1492" s="74" t="s">
        <v>3675</v>
      </c>
      <c r="C1492" s="74" t="s">
        <v>3676</v>
      </c>
      <c r="D1492" s="74">
        <v>12.936484848484849</v>
      </c>
      <c r="E1492" s="74">
        <v>0</v>
      </c>
      <c r="F1492" s="74">
        <v>0</v>
      </c>
      <c r="G1492" s="74">
        <v>0</v>
      </c>
      <c r="H1492" s="74">
        <v>0</v>
      </c>
      <c r="I1492" s="74"/>
      <c r="J1492" s="74">
        <v>15.124000000000002</v>
      </c>
      <c r="K1492" s="74">
        <v>0</v>
      </c>
      <c r="L1492" s="74">
        <v>0</v>
      </c>
      <c r="M1492" s="74">
        <v>0</v>
      </c>
      <c r="N1492" s="74">
        <v>0</v>
      </c>
    </row>
    <row r="1493" spans="1:14" x14ac:dyDescent="0.25">
      <c r="A1493" t="e">
        <f>VLOOKUP(VALUE(RIGHT(B1493,4)),'Waste Lookups'!$B$1:$C$295,2,FALSE)</f>
        <v>#N/A</v>
      </c>
      <c r="B1493" s="74" t="s">
        <v>3677</v>
      </c>
      <c r="C1493" s="74" t="s">
        <v>3678</v>
      </c>
      <c r="D1493" s="74">
        <v>19.105636363636364</v>
      </c>
      <c r="E1493" s="74">
        <v>1.16676</v>
      </c>
      <c r="F1493" s="74">
        <v>0</v>
      </c>
      <c r="G1493" s="74">
        <v>0</v>
      </c>
      <c r="H1493" s="74">
        <v>0.318043778347466</v>
      </c>
      <c r="I1493" s="74"/>
      <c r="J1493" s="74">
        <v>20.770623168556696</v>
      </c>
      <c r="K1493" s="74">
        <v>1.2684388955643615</v>
      </c>
      <c r="L1493" s="74">
        <v>0</v>
      </c>
      <c r="M1493" s="74">
        <v>0</v>
      </c>
      <c r="N1493" s="74">
        <v>0.34576013828737384</v>
      </c>
    </row>
    <row r="1494" spans="1:14" x14ac:dyDescent="0.25">
      <c r="A1494" t="e">
        <f>VLOOKUP(VALUE(RIGHT(B1494,4)),'Waste Lookups'!$B$1:$C$295,2,FALSE)</f>
        <v>#N/A</v>
      </c>
      <c r="B1494" s="74" t="s">
        <v>3679</v>
      </c>
      <c r="C1494" s="74" t="s">
        <v>3680</v>
      </c>
      <c r="D1494" s="74">
        <v>1.0815757575757576</v>
      </c>
      <c r="E1494" s="74">
        <v>0</v>
      </c>
      <c r="F1494" s="74">
        <v>0</v>
      </c>
      <c r="G1494" s="74">
        <v>0</v>
      </c>
      <c r="H1494" s="74">
        <v>0</v>
      </c>
      <c r="I1494" s="74"/>
      <c r="J1494" s="74">
        <v>17.842500000000001</v>
      </c>
      <c r="K1494" s="74">
        <v>0</v>
      </c>
      <c r="L1494" s="74">
        <v>0</v>
      </c>
      <c r="M1494" s="74">
        <v>0</v>
      </c>
      <c r="N1494" s="74">
        <v>0</v>
      </c>
    </row>
    <row r="1495" spans="1:14" x14ac:dyDescent="0.25">
      <c r="A1495" t="e">
        <f>VLOOKUP(VALUE(RIGHT(B1495,4)),'Waste Lookups'!$B$1:$C$295,2,FALSE)</f>
        <v>#N/A</v>
      </c>
      <c r="B1495" s="74" t="s">
        <v>3681</v>
      </c>
      <c r="C1495" s="74" t="s">
        <v>3682</v>
      </c>
      <c r="D1495" s="74">
        <v>12.96557575757576</v>
      </c>
      <c r="E1495" s="74">
        <v>4.1559600000000003</v>
      </c>
      <c r="F1495" s="74">
        <v>0</v>
      </c>
      <c r="G1495" s="74">
        <v>0</v>
      </c>
      <c r="H1495" s="74">
        <v>0</v>
      </c>
      <c r="I1495" s="74"/>
      <c r="J1495" s="74">
        <v>17.2013631730578</v>
      </c>
      <c r="K1495" s="74">
        <v>5.5136909173455626</v>
      </c>
      <c r="L1495" s="74">
        <v>0</v>
      </c>
      <c r="M1495" s="74">
        <v>0</v>
      </c>
      <c r="N1495" s="74">
        <v>0</v>
      </c>
    </row>
    <row r="1496" spans="1:14" x14ac:dyDescent="0.25">
      <c r="A1496" t="e">
        <f>VLOOKUP(VALUE(RIGHT(B1496,4)),'Waste Lookups'!$B$1:$C$295,2,FALSE)</f>
        <v>#N/A</v>
      </c>
      <c r="B1496" s="74" t="s">
        <v>3683</v>
      </c>
      <c r="C1496" s="74" t="s">
        <v>3684</v>
      </c>
      <c r="D1496" s="74">
        <v>74.956969696969679</v>
      </c>
      <c r="E1496" s="74">
        <v>92.458799999999982</v>
      </c>
      <c r="F1496" s="74">
        <v>0</v>
      </c>
      <c r="G1496" s="74">
        <v>0</v>
      </c>
      <c r="H1496" s="74">
        <v>0</v>
      </c>
      <c r="I1496" s="74"/>
      <c r="J1496" s="74">
        <v>66.06248741234684</v>
      </c>
      <c r="K1496" s="74">
        <v>81.487529923553254</v>
      </c>
      <c r="L1496" s="74">
        <v>0</v>
      </c>
      <c r="M1496" s="74">
        <v>0</v>
      </c>
      <c r="N1496" s="74">
        <v>0</v>
      </c>
    </row>
    <row r="1497" spans="1:14" x14ac:dyDescent="0.25">
      <c r="A1497" t="e">
        <f>VLOOKUP(VALUE(RIGHT(B1497,4)),'Waste Lookups'!$B$1:$C$295,2,FALSE)</f>
        <v>#N/A</v>
      </c>
      <c r="B1497" s="74" t="s">
        <v>3685</v>
      </c>
      <c r="C1497" s="74" t="s">
        <v>3686</v>
      </c>
      <c r="D1497" s="74">
        <v>6.3666666666666671</v>
      </c>
      <c r="E1497" s="74">
        <v>0</v>
      </c>
      <c r="F1497" s="74">
        <v>0</v>
      </c>
      <c r="G1497" s="74">
        <v>0</v>
      </c>
      <c r="H1497" s="74">
        <v>0</v>
      </c>
      <c r="I1497" s="74"/>
      <c r="J1497" s="74">
        <v>5.4656388888888898</v>
      </c>
      <c r="K1497" s="74">
        <v>0</v>
      </c>
      <c r="L1497" s="74">
        <v>0</v>
      </c>
      <c r="M1497" s="74">
        <v>0</v>
      </c>
      <c r="N1497" s="74">
        <v>0</v>
      </c>
    </row>
    <row r="1498" spans="1:14" x14ac:dyDescent="0.25">
      <c r="A1498" t="e">
        <f>VLOOKUP(VALUE(RIGHT(B1498,4)),'Waste Lookups'!$B$1:$C$295,2,FALSE)</f>
        <v>#N/A</v>
      </c>
      <c r="B1498" s="74" t="s">
        <v>3687</v>
      </c>
      <c r="C1498" s="74" t="s">
        <v>3688</v>
      </c>
      <c r="D1498" s="74">
        <v>29.583696969696977</v>
      </c>
      <c r="E1498" s="74">
        <v>22.272659999999998</v>
      </c>
      <c r="F1498" s="74">
        <v>0</v>
      </c>
      <c r="G1498" s="74">
        <v>0</v>
      </c>
      <c r="H1498" s="74">
        <v>0</v>
      </c>
      <c r="I1498" s="74"/>
      <c r="J1498" s="74">
        <v>26.750215421714902</v>
      </c>
      <c r="K1498" s="74">
        <v>20.139418465004496</v>
      </c>
      <c r="L1498" s="74">
        <v>0</v>
      </c>
      <c r="M1498" s="74">
        <v>0</v>
      </c>
      <c r="N1498" s="74">
        <v>0</v>
      </c>
    </row>
    <row r="1499" spans="1:14" x14ac:dyDescent="0.25">
      <c r="A1499" t="e">
        <f>VLOOKUP(VALUE(RIGHT(B1499,4)),'Waste Lookups'!$B$1:$C$295,2,FALSE)</f>
        <v>#N/A</v>
      </c>
      <c r="B1499" s="74" t="s">
        <v>3689</v>
      </c>
      <c r="C1499" s="74" t="s">
        <v>3690</v>
      </c>
      <c r="D1499" s="74">
        <v>13.404545454545456</v>
      </c>
      <c r="E1499" s="74">
        <v>4.8933599999999995</v>
      </c>
      <c r="F1499" s="74">
        <v>0</v>
      </c>
      <c r="G1499" s="74">
        <v>0</v>
      </c>
      <c r="H1499" s="74">
        <v>0</v>
      </c>
      <c r="I1499" s="74"/>
      <c r="J1499" s="74">
        <v>8.7779449939492959</v>
      </c>
      <c r="K1499" s="74">
        <v>3.2044089119803929</v>
      </c>
      <c r="L1499" s="74">
        <v>0</v>
      </c>
      <c r="M1499" s="74">
        <v>0</v>
      </c>
      <c r="N1499" s="74">
        <v>0</v>
      </c>
    </row>
    <row r="1500" spans="1:14" x14ac:dyDescent="0.25">
      <c r="A1500" t="e">
        <f>VLOOKUP(VALUE(RIGHT(B1500,4)),'Waste Lookups'!$B$1:$C$295,2,FALSE)</f>
        <v>#N/A</v>
      </c>
      <c r="B1500" s="74" t="s">
        <v>3691</v>
      </c>
      <c r="C1500" s="74" t="s">
        <v>3692</v>
      </c>
      <c r="D1500" s="74">
        <v>0.71478787878787875</v>
      </c>
      <c r="E1500" s="74">
        <v>3.6386400000000005</v>
      </c>
      <c r="F1500" s="74">
        <v>0</v>
      </c>
      <c r="G1500" s="74">
        <v>0</v>
      </c>
      <c r="H1500" s="74">
        <v>0</v>
      </c>
      <c r="I1500" s="74"/>
      <c r="J1500" s="74">
        <v>0.15457992211985941</v>
      </c>
      <c r="K1500" s="74">
        <v>0.78689175420267843</v>
      </c>
      <c r="L1500" s="74">
        <v>0</v>
      </c>
      <c r="M1500" s="74">
        <v>0</v>
      </c>
      <c r="N1500" s="74">
        <v>0</v>
      </c>
    </row>
    <row r="1501" spans="1:14" x14ac:dyDescent="0.25">
      <c r="A1501" t="e">
        <f>VLOOKUP(VALUE(RIGHT(B1501,4)),'Waste Lookups'!$B$1:$C$295,2,FALSE)</f>
        <v>#N/A</v>
      </c>
      <c r="B1501" s="74" t="s">
        <v>3693</v>
      </c>
      <c r="C1501" s="74" t="s">
        <v>3694</v>
      </c>
      <c r="D1501" s="74">
        <v>2.747878787878788</v>
      </c>
      <c r="E1501" s="74">
        <v>3.5200200000000001</v>
      </c>
      <c r="F1501" s="74">
        <v>0</v>
      </c>
      <c r="G1501" s="74">
        <v>0</v>
      </c>
      <c r="H1501" s="74">
        <v>0</v>
      </c>
      <c r="I1501" s="74"/>
      <c r="J1501" s="74">
        <v>10.00721445879581</v>
      </c>
      <c r="K1501" s="74">
        <v>12.819195371584296</v>
      </c>
      <c r="L1501" s="74">
        <v>0</v>
      </c>
      <c r="M1501" s="74">
        <v>0</v>
      </c>
      <c r="N1501" s="74">
        <v>0</v>
      </c>
    </row>
    <row r="1502" spans="1:14" x14ac:dyDescent="0.25">
      <c r="A1502" t="e">
        <f>VLOOKUP(VALUE(RIGHT(B1502,4)),'Waste Lookups'!$B$1:$C$295,2,FALSE)</f>
        <v>#N/A</v>
      </c>
      <c r="B1502" s="74" t="s">
        <v>3695</v>
      </c>
      <c r="C1502" s="74" t="s">
        <v>3696</v>
      </c>
      <c r="D1502" s="74">
        <v>5.5547575757575753</v>
      </c>
      <c r="E1502" s="74">
        <v>4.8067200000000003</v>
      </c>
      <c r="F1502" s="74">
        <v>0</v>
      </c>
      <c r="G1502" s="74">
        <v>0</v>
      </c>
      <c r="H1502" s="74">
        <v>0</v>
      </c>
      <c r="I1502" s="74"/>
      <c r="J1502" s="74">
        <v>5.4484009893827796</v>
      </c>
      <c r="K1502" s="74">
        <v>4.714686041022099</v>
      </c>
      <c r="L1502" s="74">
        <v>0</v>
      </c>
      <c r="M1502" s="74">
        <v>0</v>
      </c>
      <c r="N1502" s="74">
        <v>0</v>
      </c>
    </row>
    <row r="1503" spans="1:14" x14ac:dyDescent="0.25">
      <c r="A1503" t="e">
        <f>VLOOKUP(VALUE(RIGHT(B1503,4)),'Waste Lookups'!$B$1:$C$295,2,FALSE)</f>
        <v>#N/A</v>
      </c>
      <c r="B1503" s="74" t="s">
        <v>3697</v>
      </c>
      <c r="C1503" s="74" t="s">
        <v>3698</v>
      </c>
      <c r="D1503" s="74">
        <v>0</v>
      </c>
      <c r="E1503" s="74">
        <v>0</v>
      </c>
      <c r="F1503" s="74">
        <v>0</v>
      </c>
      <c r="G1503" s="74">
        <v>0</v>
      </c>
      <c r="H1503" s="74">
        <v>0</v>
      </c>
      <c r="I1503" s="74"/>
      <c r="J1503" s="74">
        <v>0</v>
      </c>
      <c r="K1503" s="74">
        <v>0</v>
      </c>
      <c r="L1503" s="74">
        <v>0</v>
      </c>
      <c r="M1503" s="74">
        <v>0</v>
      </c>
      <c r="N1503" s="74">
        <v>0</v>
      </c>
    </row>
    <row r="1504" spans="1:14" x14ac:dyDescent="0.25">
      <c r="A1504" t="e">
        <f>VLOOKUP(VALUE(RIGHT(B1504,4)),'Waste Lookups'!$B$1:$C$295,2,FALSE)</f>
        <v>#N/A</v>
      </c>
      <c r="B1504" s="74" t="s">
        <v>3699</v>
      </c>
      <c r="C1504" s="74" t="s">
        <v>3700</v>
      </c>
      <c r="D1504" s="74">
        <v>10.644848484848486</v>
      </c>
      <c r="E1504" s="74">
        <v>0</v>
      </c>
      <c r="F1504" s="74">
        <v>0</v>
      </c>
      <c r="G1504" s="74">
        <v>0</v>
      </c>
      <c r="H1504" s="74">
        <v>0</v>
      </c>
      <c r="I1504" s="74"/>
      <c r="J1504" s="74">
        <v>9.9595000000000002</v>
      </c>
      <c r="K1504" s="74">
        <v>0</v>
      </c>
      <c r="L1504" s="74">
        <v>0</v>
      </c>
      <c r="M1504" s="74">
        <v>0</v>
      </c>
      <c r="N1504" s="74">
        <v>0</v>
      </c>
    </row>
    <row r="1505" spans="1:14" x14ac:dyDescent="0.25">
      <c r="A1505" t="e">
        <f>VLOOKUP(VALUE(RIGHT(B1505,4)),'Waste Lookups'!$B$1:$C$295,2,FALSE)</f>
        <v>#N/A</v>
      </c>
      <c r="B1505" s="74" t="s">
        <v>3701</v>
      </c>
      <c r="C1505" s="74" t="s">
        <v>3702</v>
      </c>
      <c r="D1505" s="74">
        <v>16.468</v>
      </c>
      <c r="E1505" s="74">
        <v>0</v>
      </c>
      <c r="F1505" s="74">
        <v>0</v>
      </c>
      <c r="G1505" s="74">
        <v>0</v>
      </c>
      <c r="H1505" s="74">
        <v>0</v>
      </c>
      <c r="I1505" s="74"/>
      <c r="J1505" s="74">
        <v>17.134583333333332</v>
      </c>
      <c r="K1505" s="74">
        <v>0</v>
      </c>
      <c r="L1505" s="74">
        <v>0</v>
      </c>
      <c r="M1505" s="74">
        <v>0</v>
      </c>
      <c r="N1505" s="74">
        <v>0</v>
      </c>
    </row>
    <row r="1506" spans="1:14" x14ac:dyDescent="0.25">
      <c r="A1506" t="e">
        <f>VLOOKUP(VALUE(RIGHT(B1506,4)),'Waste Lookups'!$B$1:$C$295,2,FALSE)</f>
        <v>#N/A</v>
      </c>
      <c r="B1506" s="74" t="s">
        <v>3703</v>
      </c>
      <c r="C1506" s="74" t="s">
        <v>3704</v>
      </c>
      <c r="D1506" s="74">
        <v>12.254818181818184</v>
      </c>
      <c r="E1506" s="74">
        <v>0</v>
      </c>
      <c r="F1506" s="74">
        <v>0</v>
      </c>
      <c r="G1506" s="74">
        <v>0</v>
      </c>
      <c r="H1506" s="74">
        <v>0</v>
      </c>
      <c r="I1506" s="74"/>
      <c r="J1506" s="74">
        <v>12.860611111111112</v>
      </c>
      <c r="K1506" s="74">
        <v>0</v>
      </c>
      <c r="L1506" s="74">
        <v>0</v>
      </c>
      <c r="M1506" s="74">
        <v>0</v>
      </c>
      <c r="N1506" s="74">
        <v>0</v>
      </c>
    </row>
    <row r="1507" spans="1:14" x14ac:dyDescent="0.25">
      <c r="A1507" t="e">
        <f>VLOOKUP(VALUE(RIGHT(B1507,4)),'Waste Lookups'!$B$1:$C$295,2,FALSE)</f>
        <v>#N/A</v>
      </c>
      <c r="B1507" s="74" t="s">
        <v>3705</v>
      </c>
      <c r="C1507" s="74" t="s">
        <v>3706</v>
      </c>
      <c r="D1507" s="74">
        <v>0.156</v>
      </c>
      <c r="E1507" s="74">
        <v>0</v>
      </c>
      <c r="F1507" s="74">
        <v>0</v>
      </c>
      <c r="G1507" s="74">
        <v>0</v>
      </c>
      <c r="H1507" s="74">
        <v>0</v>
      </c>
      <c r="I1507" s="74"/>
      <c r="J1507" s="74">
        <v>0</v>
      </c>
      <c r="K1507" s="74">
        <v>0</v>
      </c>
      <c r="L1507" s="74">
        <v>0</v>
      </c>
      <c r="M1507" s="74">
        <v>0</v>
      </c>
      <c r="N1507" s="74">
        <v>0</v>
      </c>
    </row>
    <row r="1508" spans="1:14" x14ac:dyDescent="0.25">
      <c r="A1508" t="e">
        <f>VLOOKUP(VALUE(RIGHT(B1508,4)),'Waste Lookups'!$B$1:$C$295,2,FALSE)</f>
        <v>#N/A</v>
      </c>
      <c r="B1508" s="74" t="s">
        <v>3707</v>
      </c>
      <c r="C1508" s="74" t="s">
        <v>3708</v>
      </c>
      <c r="D1508" s="74">
        <v>9.6108484848484856</v>
      </c>
      <c r="E1508" s="74">
        <v>0</v>
      </c>
      <c r="F1508" s="74">
        <v>0</v>
      </c>
      <c r="G1508" s="74">
        <v>0</v>
      </c>
      <c r="H1508" s="74">
        <v>0</v>
      </c>
      <c r="I1508" s="74"/>
      <c r="J1508" s="74">
        <v>10.242083333333333</v>
      </c>
      <c r="K1508" s="74">
        <v>0</v>
      </c>
      <c r="L1508" s="74">
        <v>0</v>
      </c>
      <c r="M1508" s="74">
        <v>0</v>
      </c>
      <c r="N1508" s="74">
        <v>0</v>
      </c>
    </row>
    <row r="1509" spans="1:14" x14ac:dyDescent="0.25">
      <c r="A1509" t="e">
        <f>VLOOKUP(VALUE(RIGHT(B1509,4)),'Waste Lookups'!$B$1:$C$295,2,FALSE)</f>
        <v>#N/A</v>
      </c>
      <c r="B1509" s="74" t="s">
        <v>3709</v>
      </c>
      <c r="C1509" s="74" t="s">
        <v>3710</v>
      </c>
      <c r="D1509" s="74">
        <v>0</v>
      </c>
      <c r="E1509" s="74">
        <v>0</v>
      </c>
      <c r="F1509" s="74">
        <v>0</v>
      </c>
      <c r="G1509" s="74">
        <v>0</v>
      </c>
      <c r="H1509" s="74">
        <v>0</v>
      </c>
      <c r="I1509" s="74"/>
      <c r="J1509" s="74">
        <v>0</v>
      </c>
      <c r="K1509" s="74">
        <v>0</v>
      </c>
      <c r="L1509" s="74">
        <v>0</v>
      </c>
      <c r="M1509" s="74">
        <v>0</v>
      </c>
      <c r="N1509" s="74">
        <v>0</v>
      </c>
    </row>
    <row r="1510" spans="1:14" x14ac:dyDescent="0.25">
      <c r="A1510" t="e">
        <f>VLOOKUP(VALUE(RIGHT(B1510,4)),'Waste Lookups'!$B$1:$C$295,2,FALSE)</f>
        <v>#N/A</v>
      </c>
      <c r="B1510" s="74" t="s">
        <v>3711</v>
      </c>
      <c r="C1510" s="74" t="s">
        <v>3712</v>
      </c>
      <c r="D1510" s="74">
        <v>10.162000000000001</v>
      </c>
      <c r="E1510" s="74">
        <v>0</v>
      </c>
      <c r="F1510" s="74">
        <v>0</v>
      </c>
      <c r="G1510" s="74">
        <v>0</v>
      </c>
      <c r="H1510" s="74">
        <v>0</v>
      </c>
      <c r="I1510" s="74"/>
      <c r="J1510" s="74">
        <v>17.163138888888888</v>
      </c>
      <c r="K1510" s="74">
        <v>0</v>
      </c>
      <c r="L1510" s="74">
        <v>0</v>
      </c>
      <c r="M1510" s="74">
        <v>0</v>
      </c>
      <c r="N1510" s="74">
        <v>0</v>
      </c>
    </row>
    <row r="1511" spans="1:14" x14ac:dyDescent="0.25">
      <c r="A1511" t="e">
        <f>VLOOKUP(VALUE(RIGHT(B1511,4)),'Waste Lookups'!$B$1:$C$295,2,FALSE)</f>
        <v>#N/A</v>
      </c>
      <c r="B1511" s="74" t="s">
        <v>3713</v>
      </c>
      <c r="C1511" s="74" t="s">
        <v>3714</v>
      </c>
      <c r="D1511" s="74">
        <v>10.733606060606061</v>
      </c>
      <c r="E1511" s="74">
        <v>109.30644000000001</v>
      </c>
      <c r="F1511" s="74">
        <v>0</v>
      </c>
      <c r="G1511" s="74">
        <v>0</v>
      </c>
      <c r="H1511" s="74">
        <v>0</v>
      </c>
      <c r="I1511" s="74"/>
      <c r="J1511" s="74">
        <v>0</v>
      </c>
      <c r="K1511" s="74">
        <v>0</v>
      </c>
      <c r="L1511" s="74">
        <v>0</v>
      </c>
      <c r="M1511" s="74">
        <v>0</v>
      </c>
      <c r="N1511" s="74">
        <v>0</v>
      </c>
    </row>
    <row r="1512" spans="1:14" x14ac:dyDescent="0.25">
      <c r="A1512" t="e">
        <f>VLOOKUP(VALUE(RIGHT(B1512,4)),'Waste Lookups'!$B$1:$C$295,2,FALSE)</f>
        <v>#N/A</v>
      </c>
      <c r="B1512" s="74" t="s">
        <v>3715</v>
      </c>
      <c r="C1512" s="74" t="s">
        <v>3716</v>
      </c>
      <c r="D1512" s="74">
        <v>0</v>
      </c>
      <c r="E1512" s="74">
        <v>0</v>
      </c>
      <c r="F1512" s="74">
        <v>0</v>
      </c>
      <c r="G1512" s="74">
        <v>0</v>
      </c>
      <c r="H1512" s="74">
        <v>0</v>
      </c>
      <c r="I1512" s="74"/>
      <c r="J1512" s="74">
        <v>0</v>
      </c>
      <c r="K1512" s="74">
        <v>0</v>
      </c>
      <c r="L1512" s="74">
        <v>0</v>
      </c>
      <c r="M1512" s="74">
        <v>0</v>
      </c>
      <c r="N1512" s="74">
        <v>0</v>
      </c>
    </row>
    <row r="1513" spans="1:14" x14ac:dyDescent="0.25">
      <c r="A1513" t="e">
        <f>VLOOKUP(VALUE(RIGHT(B1513,4)),'Waste Lookups'!$B$1:$C$295,2,FALSE)</f>
        <v>#N/A</v>
      </c>
      <c r="B1513" s="74" t="s">
        <v>3717</v>
      </c>
      <c r="C1513" s="74" t="s">
        <v>3718</v>
      </c>
      <c r="D1513" s="74">
        <v>0</v>
      </c>
      <c r="E1513" s="74">
        <v>0</v>
      </c>
      <c r="F1513" s="74">
        <v>0</v>
      </c>
      <c r="G1513" s="74">
        <v>0</v>
      </c>
      <c r="H1513" s="74">
        <v>0</v>
      </c>
      <c r="I1513" s="74"/>
      <c r="J1513" s="74">
        <v>0</v>
      </c>
      <c r="K1513" s="74">
        <v>0</v>
      </c>
      <c r="L1513" s="74">
        <v>0</v>
      </c>
      <c r="M1513" s="74">
        <v>0</v>
      </c>
      <c r="N1513" s="74">
        <v>0</v>
      </c>
    </row>
    <row r="1514" spans="1:14" x14ac:dyDescent="0.25">
      <c r="A1514" t="e">
        <f>VLOOKUP(VALUE(RIGHT(B1514,4)),'Waste Lookups'!$B$1:$C$295,2,FALSE)</f>
        <v>#N/A</v>
      </c>
      <c r="B1514" s="74" t="s">
        <v>3719</v>
      </c>
      <c r="C1514" s="74" t="s">
        <v>3720</v>
      </c>
      <c r="D1514" s="74">
        <v>0.21836363636363637</v>
      </c>
      <c r="E1514" s="74">
        <v>0</v>
      </c>
      <c r="F1514" s="74">
        <v>0</v>
      </c>
      <c r="G1514" s="74">
        <v>0</v>
      </c>
      <c r="H1514" s="74">
        <v>0</v>
      </c>
      <c r="I1514" s="74"/>
      <c r="J1514" s="74">
        <v>0</v>
      </c>
      <c r="K1514" s="74">
        <v>0</v>
      </c>
      <c r="L1514" s="74">
        <v>0</v>
      </c>
      <c r="M1514" s="74">
        <v>0</v>
      </c>
      <c r="N1514" s="74">
        <v>0</v>
      </c>
    </row>
    <row r="1515" spans="1:14" x14ac:dyDescent="0.25">
      <c r="A1515" t="e">
        <f>VLOOKUP(VALUE(RIGHT(B1515,4)),'Waste Lookups'!$B$1:$C$295,2,FALSE)</f>
        <v>#N/A</v>
      </c>
      <c r="B1515" s="74" t="s">
        <v>3721</v>
      </c>
      <c r="C1515" s="74" t="s">
        <v>3722</v>
      </c>
      <c r="D1515" s="74">
        <v>8.0000000000000019E-3</v>
      </c>
      <c r="E1515" s="74">
        <v>0</v>
      </c>
      <c r="F1515" s="74">
        <v>0</v>
      </c>
      <c r="G1515" s="74">
        <v>0</v>
      </c>
      <c r="H1515" s="74">
        <v>0</v>
      </c>
      <c r="I1515" s="74"/>
      <c r="J1515" s="74">
        <v>9.4638888888888897E-2</v>
      </c>
      <c r="K1515" s="74">
        <v>0</v>
      </c>
      <c r="L1515" s="74">
        <v>0</v>
      </c>
      <c r="M1515" s="74">
        <v>0</v>
      </c>
      <c r="N1515" s="74">
        <v>0</v>
      </c>
    </row>
    <row r="1516" spans="1:14" x14ac:dyDescent="0.25">
      <c r="A1516" t="e">
        <f>VLOOKUP(VALUE(RIGHT(B1516,4)),'Waste Lookups'!$B$1:$C$295,2,FALSE)</f>
        <v>#N/A</v>
      </c>
      <c r="B1516" s="74" t="s">
        <v>3723</v>
      </c>
      <c r="C1516" s="74" t="s">
        <v>3724</v>
      </c>
      <c r="D1516" s="74">
        <v>1.0049999999999999</v>
      </c>
      <c r="E1516" s="74">
        <v>0</v>
      </c>
      <c r="F1516" s="74">
        <v>0</v>
      </c>
      <c r="G1516" s="74">
        <v>0</v>
      </c>
      <c r="H1516" s="74">
        <v>0</v>
      </c>
      <c r="I1516" s="74"/>
      <c r="J1516" s="74">
        <v>9.3283611111111107</v>
      </c>
      <c r="K1516" s="74">
        <v>0</v>
      </c>
      <c r="L1516" s="74">
        <v>0</v>
      </c>
      <c r="M1516" s="74">
        <v>0</v>
      </c>
      <c r="N1516" s="74">
        <v>0</v>
      </c>
    </row>
    <row r="1517" spans="1:14" x14ac:dyDescent="0.25">
      <c r="A1517" t="e">
        <f>VLOOKUP(VALUE(RIGHT(B1517,4)),'Waste Lookups'!$B$1:$C$295,2,FALSE)</f>
        <v>#N/A</v>
      </c>
      <c r="B1517" s="74" t="s">
        <v>3725</v>
      </c>
      <c r="C1517" s="74" t="s">
        <v>3726</v>
      </c>
      <c r="D1517" s="74">
        <v>13.312030303030305</v>
      </c>
      <c r="E1517" s="74">
        <v>0</v>
      </c>
      <c r="F1517" s="74">
        <v>0</v>
      </c>
      <c r="G1517" s="74">
        <v>0</v>
      </c>
      <c r="H1517" s="74">
        <v>0</v>
      </c>
      <c r="I1517" s="74"/>
      <c r="J1517" s="74">
        <v>14.177000000000001</v>
      </c>
      <c r="K1517" s="74">
        <v>0</v>
      </c>
      <c r="L1517" s="74">
        <v>0</v>
      </c>
      <c r="M1517" s="74">
        <v>0</v>
      </c>
      <c r="N1517" s="74">
        <v>0</v>
      </c>
    </row>
    <row r="1518" spans="1:14" x14ac:dyDescent="0.25">
      <c r="A1518" t="e">
        <f>VLOOKUP(VALUE(RIGHT(B1518,4)),'Waste Lookups'!$B$1:$C$295,2,FALSE)</f>
        <v>#N/A</v>
      </c>
      <c r="B1518" s="74" t="s">
        <v>3727</v>
      </c>
      <c r="C1518" s="74" t="s">
        <v>3728</v>
      </c>
      <c r="D1518" s="74">
        <v>0</v>
      </c>
      <c r="E1518" s="74">
        <v>0</v>
      </c>
      <c r="F1518" s="74">
        <v>0</v>
      </c>
      <c r="G1518" s="74">
        <v>0</v>
      </c>
      <c r="H1518" s="74">
        <v>0</v>
      </c>
      <c r="I1518" s="74"/>
      <c r="J1518" s="74">
        <v>0</v>
      </c>
      <c r="K1518" s="74">
        <v>0</v>
      </c>
      <c r="L1518" s="74">
        <v>0</v>
      </c>
      <c r="M1518" s="74">
        <v>0</v>
      </c>
      <c r="N1518" s="74">
        <v>0</v>
      </c>
    </row>
    <row r="1519" spans="1:14" x14ac:dyDescent="0.25">
      <c r="A1519" t="e">
        <f>VLOOKUP(VALUE(RIGHT(B1519,4)),'Waste Lookups'!$B$1:$C$295,2,FALSE)</f>
        <v>#N/A</v>
      </c>
      <c r="B1519" s="74" t="s">
        <v>3729</v>
      </c>
      <c r="C1519" s="74" t="s">
        <v>3730</v>
      </c>
      <c r="D1519" s="74">
        <v>0</v>
      </c>
      <c r="E1519" s="74">
        <v>0</v>
      </c>
      <c r="F1519" s="74">
        <v>0</v>
      </c>
      <c r="G1519" s="74">
        <v>0</v>
      </c>
      <c r="H1519" s="74">
        <v>0</v>
      </c>
      <c r="I1519" s="74"/>
      <c r="J1519" s="74">
        <v>0</v>
      </c>
      <c r="K1519" s="74">
        <v>0</v>
      </c>
      <c r="L1519" s="74">
        <v>0</v>
      </c>
      <c r="M1519" s="74">
        <v>0</v>
      </c>
      <c r="N1519" s="74">
        <v>0</v>
      </c>
    </row>
    <row r="1520" spans="1:14" x14ac:dyDescent="0.25">
      <c r="A1520" t="e">
        <f>VLOOKUP(VALUE(RIGHT(B1520,4)),'Waste Lookups'!$B$1:$C$295,2,FALSE)</f>
        <v>#N/A</v>
      </c>
      <c r="B1520" s="74" t="s">
        <v>3731</v>
      </c>
      <c r="C1520" s="74" t="s">
        <v>3732</v>
      </c>
      <c r="D1520" s="74">
        <v>5.8204545454545462</v>
      </c>
      <c r="E1520" s="74">
        <v>0</v>
      </c>
      <c r="F1520" s="74">
        <v>0</v>
      </c>
      <c r="G1520" s="74">
        <v>0</v>
      </c>
      <c r="H1520" s="74">
        <v>0</v>
      </c>
      <c r="I1520" s="74"/>
      <c r="J1520" s="74">
        <v>17.507444444444445</v>
      </c>
      <c r="K1520" s="74">
        <v>0</v>
      </c>
      <c r="L1520" s="74">
        <v>0</v>
      </c>
      <c r="M1520" s="74">
        <v>0</v>
      </c>
      <c r="N1520" s="74">
        <v>0</v>
      </c>
    </row>
    <row r="1521" spans="1:14" x14ac:dyDescent="0.25">
      <c r="A1521" t="e">
        <f>VLOOKUP(VALUE(RIGHT(B1521,4)),'Waste Lookups'!$B$1:$C$295,2,FALSE)</f>
        <v>#N/A</v>
      </c>
      <c r="B1521" s="74" t="s">
        <v>3733</v>
      </c>
      <c r="C1521" s="74" t="s">
        <v>3734</v>
      </c>
      <c r="D1521" s="74">
        <v>8.4519393939393943</v>
      </c>
      <c r="E1521" s="74">
        <v>0</v>
      </c>
      <c r="F1521" s="74">
        <v>0</v>
      </c>
      <c r="G1521" s="74">
        <v>0</v>
      </c>
      <c r="H1521" s="74">
        <v>0</v>
      </c>
      <c r="I1521" s="74"/>
      <c r="J1521" s="74">
        <v>9.382083333333334</v>
      </c>
      <c r="K1521" s="74">
        <v>0</v>
      </c>
      <c r="L1521" s="74">
        <v>0</v>
      </c>
      <c r="M1521" s="74">
        <v>0</v>
      </c>
      <c r="N1521" s="74">
        <v>0</v>
      </c>
    </row>
    <row r="1522" spans="1:14" x14ac:dyDescent="0.25">
      <c r="A1522" t="e">
        <f>VLOOKUP(VALUE(RIGHT(B1522,4)),'Waste Lookups'!$B$1:$C$295,2,FALSE)</f>
        <v>#N/A</v>
      </c>
      <c r="B1522" s="74" t="s">
        <v>3735</v>
      </c>
      <c r="C1522" s="74" t="s">
        <v>3736</v>
      </c>
      <c r="D1522" s="74">
        <v>6.0494242424242417</v>
      </c>
      <c r="E1522" s="74">
        <v>0</v>
      </c>
      <c r="F1522" s="74">
        <v>0</v>
      </c>
      <c r="G1522" s="74">
        <v>0</v>
      </c>
      <c r="H1522" s="74">
        <v>0</v>
      </c>
      <c r="I1522" s="74"/>
      <c r="J1522" s="74">
        <v>2.6716666666666664</v>
      </c>
      <c r="K1522" s="74">
        <v>0</v>
      </c>
      <c r="L1522" s="74">
        <v>0</v>
      </c>
      <c r="M1522" s="74">
        <v>0</v>
      </c>
      <c r="N1522" s="74">
        <v>0</v>
      </c>
    </row>
    <row r="1523" spans="1:14" x14ac:dyDescent="0.25">
      <c r="A1523" t="e">
        <f>VLOOKUP(VALUE(RIGHT(B1523,4)),'Waste Lookups'!$B$1:$C$295,2,FALSE)</f>
        <v>#N/A</v>
      </c>
      <c r="B1523" s="74" t="s">
        <v>3737</v>
      </c>
      <c r="C1523" s="74" t="s">
        <v>3738</v>
      </c>
      <c r="D1523" s="74">
        <v>0</v>
      </c>
      <c r="E1523" s="74">
        <v>0</v>
      </c>
      <c r="F1523" s="74">
        <v>0</v>
      </c>
      <c r="G1523" s="74">
        <v>0</v>
      </c>
      <c r="H1523" s="74">
        <v>10.127574048511143</v>
      </c>
      <c r="I1523" s="74"/>
      <c r="J1523" s="74">
        <v>0</v>
      </c>
      <c r="K1523" s="74">
        <v>0</v>
      </c>
      <c r="L1523" s="74">
        <v>0</v>
      </c>
      <c r="M1523" s="74">
        <v>0</v>
      </c>
      <c r="N1523" s="74">
        <v>20.002244396240059</v>
      </c>
    </row>
    <row r="1524" spans="1:14" x14ac:dyDescent="0.25">
      <c r="A1524" t="e">
        <f>VLOOKUP(VALUE(RIGHT(B1524,4)),'Waste Lookups'!$B$1:$C$295,2,FALSE)</f>
        <v>#N/A</v>
      </c>
      <c r="B1524" s="74" t="s">
        <v>3739</v>
      </c>
      <c r="C1524" s="74" t="s">
        <v>3740</v>
      </c>
      <c r="D1524" s="74">
        <v>0</v>
      </c>
      <c r="E1524" s="74">
        <v>0</v>
      </c>
      <c r="F1524" s="74">
        <v>0</v>
      </c>
      <c r="G1524" s="74">
        <v>0</v>
      </c>
      <c r="H1524" s="74">
        <v>0</v>
      </c>
      <c r="I1524" s="74"/>
      <c r="J1524" s="74">
        <v>0</v>
      </c>
      <c r="K1524" s="74">
        <v>0</v>
      </c>
      <c r="L1524" s="74">
        <v>0</v>
      </c>
      <c r="M1524" s="74">
        <v>0</v>
      </c>
      <c r="N1524" s="74">
        <v>0</v>
      </c>
    </row>
    <row r="1525" spans="1:14" x14ac:dyDescent="0.25">
      <c r="A1525" t="e">
        <f>VLOOKUP(VALUE(RIGHT(B1525,4)),'Waste Lookups'!$B$1:$C$295,2,FALSE)</f>
        <v>#N/A</v>
      </c>
      <c r="B1525" s="74" t="s">
        <v>3741</v>
      </c>
      <c r="C1525" s="74" t="s">
        <v>3742</v>
      </c>
      <c r="D1525" s="74">
        <v>0.32121212121212123</v>
      </c>
      <c r="E1525" s="74">
        <v>0</v>
      </c>
      <c r="F1525" s="74">
        <v>0</v>
      </c>
      <c r="G1525" s="74">
        <v>0</v>
      </c>
      <c r="H1525" s="74">
        <v>35.645728258726095</v>
      </c>
      <c r="I1525" s="74"/>
      <c r="J1525" s="74">
        <v>7.1152191243939636E-2</v>
      </c>
      <c r="K1525" s="74">
        <v>0</v>
      </c>
      <c r="L1525" s="74">
        <v>0</v>
      </c>
      <c r="M1525" s="74">
        <v>0</v>
      </c>
      <c r="N1525" s="74">
        <v>7.8959401174636419</v>
      </c>
    </row>
    <row r="1526" spans="1:14" x14ac:dyDescent="0.25">
      <c r="A1526" t="e">
        <f>VLOOKUP(VALUE(RIGHT(B1526,4)),'Waste Lookups'!$B$1:$C$295,2,FALSE)</f>
        <v>#N/A</v>
      </c>
      <c r="B1526" s="74" t="s">
        <v>3743</v>
      </c>
      <c r="C1526" s="74" t="s">
        <v>3744</v>
      </c>
      <c r="D1526" s="74">
        <v>2.9151515151515155</v>
      </c>
      <c r="E1526" s="74">
        <v>0</v>
      </c>
      <c r="F1526" s="74">
        <v>0</v>
      </c>
      <c r="G1526" s="74">
        <v>0</v>
      </c>
      <c r="H1526" s="74">
        <v>0</v>
      </c>
      <c r="I1526" s="74"/>
      <c r="J1526" s="74">
        <v>-5.5555555555555556E-4</v>
      </c>
      <c r="K1526" s="74">
        <v>0</v>
      </c>
      <c r="L1526" s="74">
        <v>0</v>
      </c>
      <c r="M1526" s="74">
        <v>0</v>
      </c>
      <c r="N1526" s="74">
        <v>0</v>
      </c>
    </row>
    <row r="1527" spans="1:14" x14ac:dyDescent="0.25">
      <c r="A1527" t="e">
        <f>VLOOKUP(VALUE(RIGHT(B1527,4)),'Waste Lookups'!$B$1:$C$295,2,FALSE)</f>
        <v>#N/A</v>
      </c>
      <c r="B1527" s="74" t="s">
        <v>3745</v>
      </c>
      <c r="C1527" s="74" t="s">
        <v>3746</v>
      </c>
      <c r="D1527" s="74">
        <v>0</v>
      </c>
      <c r="E1527" s="74">
        <v>0</v>
      </c>
      <c r="F1527" s="74">
        <v>0</v>
      </c>
      <c r="G1527" s="74">
        <v>0</v>
      </c>
      <c r="H1527" s="74">
        <v>4.6634935910076907</v>
      </c>
      <c r="I1527" s="74"/>
      <c r="J1527" s="74">
        <v>0</v>
      </c>
      <c r="K1527" s="74">
        <v>0</v>
      </c>
      <c r="L1527" s="74">
        <v>0</v>
      </c>
      <c r="M1527" s="74">
        <v>0</v>
      </c>
      <c r="N1527" s="74">
        <v>21.041382501807664</v>
      </c>
    </row>
    <row r="1528" spans="1:14" x14ac:dyDescent="0.25">
      <c r="A1528" t="str">
        <f>VLOOKUP(VALUE(RIGHT(B1528,4)),'Waste Lookups'!$B$1:$C$295,2,FALSE)</f>
        <v>Priory Crescent</v>
      </c>
      <c r="B1528" s="74" t="s">
        <v>807</v>
      </c>
      <c r="C1528" s="74" t="s">
        <v>3747</v>
      </c>
      <c r="D1528" s="74">
        <v>0</v>
      </c>
      <c r="E1528" s="74">
        <v>0</v>
      </c>
      <c r="F1528" s="74">
        <v>0</v>
      </c>
      <c r="G1528" s="74">
        <v>0</v>
      </c>
      <c r="H1528" s="74">
        <v>6.5845663577203721</v>
      </c>
      <c r="I1528" s="74"/>
      <c r="J1528" s="74">
        <v>0</v>
      </c>
      <c r="K1528" s="74">
        <v>0</v>
      </c>
      <c r="L1528" s="74">
        <v>0</v>
      </c>
      <c r="M1528" s="74">
        <v>0</v>
      </c>
      <c r="N1528" s="74">
        <v>6.8178684020245841</v>
      </c>
    </row>
    <row r="1529" spans="1:14" x14ac:dyDescent="0.25">
      <c r="A1529" t="e">
        <f>VLOOKUP(VALUE(RIGHT(B1529,4)),'Waste Lookups'!$B$1:$C$295,2,FALSE)</f>
        <v>#N/A</v>
      </c>
      <c r="B1529" s="74" t="s">
        <v>3748</v>
      </c>
      <c r="C1529" s="74" t="s">
        <v>3749</v>
      </c>
      <c r="D1529" s="74">
        <v>9.4568181818181802</v>
      </c>
      <c r="E1529" s="74">
        <v>0.28799999999999992</v>
      </c>
      <c r="F1529" s="74">
        <v>0</v>
      </c>
      <c r="G1529" s="74">
        <v>0</v>
      </c>
      <c r="H1529" s="74">
        <v>8.3838990337211605</v>
      </c>
      <c r="I1529" s="74"/>
      <c r="J1529" s="74">
        <v>2.8611136892038846</v>
      </c>
      <c r="K1529" s="74">
        <v>8.7132979258811888E-2</v>
      </c>
      <c r="L1529" s="74">
        <v>0</v>
      </c>
      <c r="M1529" s="74">
        <v>0</v>
      </c>
      <c r="N1529" s="74">
        <v>2.5365072937958297</v>
      </c>
    </row>
    <row r="1530" spans="1:14" x14ac:dyDescent="0.25">
      <c r="A1530" t="e">
        <f>VLOOKUP(VALUE(RIGHT(B1530,4)),'Waste Lookups'!$B$1:$C$295,2,FALSE)</f>
        <v>#N/A</v>
      </c>
      <c r="B1530" s="74" t="s">
        <v>3750</v>
      </c>
      <c r="C1530" s="74" t="s">
        <v>3751</v>
      </c>
      <c r="D1530" s="74">
        <v>0</v>
      </c>
      <c r="E1530" s="74">
        <v>0</v>
      </c>
      <c r="F1530" s="74">
        <v>0</v>
      </c>
      <c r="G1530" s="74">
        <v>0</v>
      </c>
      <c r="H1530" s="74">
        <v>2.0863230132123842</v>
      </c>
      <c r="I1530" s="74"/>
      <c r="J1530" s="74">
        <v>0</v>
      </c>
      <c r="K1530" s="74">
        <v>0</v>
      </c>
      <c r="L1530" s="74">
        <v>0</v>
      </c>
      <c r="M1530" s="74">
        <v>0</v>
      </c>
      <c r="N1530" s="74">
        <v>5.3237252349963846</v>
      </c>
    </row>
    <row r="1531" spans="1:14" x14ac:dyDescent="0.25">
      <c r="A1531" t="e">
        <f>VLOOKUP(VALUE(RIGHT(B1531,4)),'Waste Lookups'!$B$1:$C$295,2,FALSE)</f>
        <v>#N/A</v>
      </c>
      <c r="B1531" s="74" t="s">
        <v>3752</v>
      </c>
      <c r="C1531" s="74" t="s">
        <v>3753</v>
      </c>
      <c r="D1531" s="74">
        <v>0</v>
      </c>
      <c r="E1531" s="74">
        <v>0.54924000000000006</v>
      </c>
      <c r="F1531" s="74">
        <v>0</v>
      </c>
      <c r="G1531" s="74">
        <v>0</v>
      </c>
      <c r="H1531" s="74">
        <v>15.669972786432655</v>
      </c>
      <c r="I1531" s="74"/>
      <c r="J1531" s="74">
        <v>0</v>
      </c>
      <c r="K1531" s="74">
        <v>3.7600636657350845</v>
      </c>
      <c r="L1531" s="74">
        <v>0</v>
      </c>
      <c r="M1531" s="74">
        <v>0</v>
      </c>
      <c r="N1531" s="74">
        <v>107.2756815186858</v>
      </c>
    </row>
    <row r="1532" spans="1:14" x14ac:dyDescent="0.25">
      <c r="A1532" t="e">
        <f>VLOOKUP(VALUE(RIGHT(B1532,4)),'Waste Lookups'!$B$1:$C$295,2,FALSE)</f>
        <v>#N/A</v>
      </c>
      <c r="B1532" s="74" t="s">
        <v>3754</v>
      </c>
      <c r="C1532" s="74" t="s">
        <v>3755</v>
      </c>
      <c r="D1532" s="74">
        <v>0</v>
      </c>
      <c r="E1532" s="74">
        <v>0</v>
      </c>
      <c r="F1532" s="74">
        <v>0</v>
      </c>
      <c r="G1532" s="74">
        <v>0</v>
      </c>
      <c r="H1532" s="74">
        <v>2.5772147505422995</v>
      </c>
      <c r="I1532" s="74"/>
      <c r="J1532" s="74">
        <v>0</v>
      </c>
      <c r="K1532" s="74">
        <v>0</v>
      </c>
      <c r="L1532" s="74">
        <v>0</v>
      </c>
      <c r="M1532" s="74">
        <v>0</v>
      </c>
      <c r="N1532" s="74">
        <v>10.282417932031814</v>
      </c>
    </row>
    <row r="1533" spans="1:14" x14ac:dyDescent="0.25">
      <c r="A1533" t="e">
        <f>VLOOKUP(VALUE(RIGHT(B1533,4)),'Waste Lookups'!$B$1:$C$295,2,FALSE)</f>
        <v>#N/A</v>
      </c>
      <c r="B1533" s="74" t="s">
        <v>3756</v>
      </c>
      <c r="C1533" s="74" t="s">
        <v>3757</v>
      </c>
      <c r="D1533" s="74">
        <v>4.527333333333333</v>
      </c>
      <c r="E1533" s="74">
        <v>0</v>
      </c>
      <c r="F1533" s="74">
        <v>0</v>
      </c>
      <c r="G1533" s="74">
        <v>0</v>
      </c>
      <c r="H1533" s="74">
        <v>0</v>
      </c>
      <c r="I1533" s="74"/>
      <c r="J1533" s="74">
        <v>0.36105555555555552</v>
      </c>
      <c r="K1533" s="74">
        <v>0</v>
      </c>
      <c r="L1533" s="74">
        <v>0</v>
      </c>
      <c r="M1533" s="74">
        <v>0</v>
      </c>
      <c r="N1533" s="74">
        <v>0</v>
      </c>
    </row>
    <row r="1534" spans="1:14" x14ac:dyDescent="0.25">
      <c r="A1534" t="e">
        <f>VLOOKUP(VALUE(RIGHT(B1534,4)),'Waste Lookups'!$B$1:$C$295,2,FALSE)</f>
        <v>#N/A</v>
      </c>
      <c r="B1534" s="74" t="s">
        <v>3758</v>
      </c>
      <c r="C1534" s="74" t="s">
        <v>3759</v>
      </c>
      <c r="D1534" s="74">
        <v>0</v>
      </c>
      <c r="E1534" s="74">
        <v>0</v>
      </c>
      <c r="F1534" s="74">
        <v>0</v>
      </c>
      <c r="G1534" s="74">
        <v>0</v>
      </c>
      <c r="H1534" s="74">
        <v>1.1131532242161311</v>
      </c>
      <c r="I1534" s="74"/>
      <c r="J1534" s="74">
        <v>0</v>
      </c>
      <c r="K1534" s="74">
        <v>0</v>
      </c>
      <c r="L1534" s="74">
        <v>0</v>
      </c>
      <c r="M1534" s="74">
        <v>0</v>
      </c>
      <c r="N1534" s="74">
        <v>12.978273318872018</v>
      </c>
    </row>
    <row r="1535" spans="1:14" x14ac:dyDescent="0.25">
      <c r="A1535" t="e">
        <f>VLOOKUP(VALUE(RIGHT(B1535,4)),'Waste Lookups'!$B$1:$C$295,2,FALSE)</f>
        <v>#N/A</v>
      </c>
      <c r="B1535" s="74" t="s">
        <v>3760</v>
      </c>
      <c r="C1535" s="74" t="s">
        <v>3761</v>
      </c>
      <c r="D1535" s="74">
        <v>2.8553636363636365</v>
      </c>
      <c r="E1535" s="74">
        <v>11.35782</v>
      </c>
      <c r="F1535" s="74">
        <v>0</v>
      </c>
      <c r="G1535" s="74">
        <v>0</v>
      </c>
      <c r="H1535" s="74">
        <v>0</v>
      </c>
      <c r="I1535" s="74"/>
      <c r="J1535" s="74">
        <v>0</v>
      </c>
      <c r="K1535" s="74">
        <v>0</v>
      </c>
      <c r="L1535" s="74">
        <v>0</v>
      </c>
      <c r="M1535" s="74">
        <v>0</v>
      </c>
      <c r="N1535" s="74">
        <v>0</v>
      </c>
    </row>
    <row r="1536" spans="1:14" x14ac:dyDescent="0.25">
      <c r="A1536" t="str">
        <f>VLOOKUP(VALUE(RIGHT(B1536,4)),'Waste Lookups'!$B$1:$C$295,2,FALSE)</f>
        <v>St Martins Hospital</v>
      </c>
      <c r="B1536" s="74" t="s">
        <v>646</v>
      </c>
      <c r="C1536" s="74" t="s">
        <v>3762</v>
      </c>
      <c r="D1536" s="74">
        <v>0</v>
      </c>
      <c r="E1536" s="74">
        <v>0</v>
      </c>
      <c r="F1536" s="74">
        <v>0</v>
      </c>
      <c r="G1536" s="74">
        <v>0.1134</v>
      </c>
      <c r="H1536" s="74">
        <v>0</v>
      </c>
      <c r="I1536" s="74"/>
      <c r="J1536" s="74">
        <v>0</v>
      </c>
      <c r="K1536" s="74">
        <v>0</v>
      </c>
      <c r="L1536" s="74">
        <v>0</v>
      </c>
      <c r="M1536" s="74">
        <v>4.4025299999999996</v>
      </c>
      <c r="N1536" s="74">
        <v>0</v>
      </c>
    </row>
    <row r="1537" spans="1:14" x14ac:dyDescent="0.25">
      <c r="A1537" t="e">
        <f>VLOOKUP(VALUE(RIGHT(B1537,4)),'Waste Lookups'!$B$1:$C$295,2,FALSE)</f>
        <v>#N/A</v>
      </c>
      <c r="B1537" s="74" t="s">
        <v>3763</v>
      </c>
      <c r="C1537" s="74" t="s">
        <v>3764</v>
      </c>
      <c r="D1537" s="74">
        <v>1.0227878787878788</v>
      </c>
      <c r="E1537" s="74">
        <v>0.53688000000000002</v>
      </c>
      <c r="F1537" s="74">
        <v>0.6683818181818183</v>
      </c>
      <c r="G1537" s="74">
        <v>0.58319999999999994</v>
      </c>
      <c r="H1537" s="74">
        <v>0</v>
      </c>
      <c r="I1537" s="74"/>
      <c r="J1537" s="74">
        <v>0</v>
      </c>
      <c r="K1537" s="74">
        <v>0</v>
      </c>
      <c r="L1537" s="74">
        <v>0</v>
      </c>
      <c r="M1537" s="74">
        <v>0</v>
      </c>
      <c r="N1537" s="74">
        <v>0</v>
      </c>
    </row>
    <row r="1538" spans="1:14" x14ac:dyDescent="0.25">
      <c r="A1538" t="e">
        <f>VLOOKUP(VALUE(RIGHT(B1538,4)),'Waste Lookups'!$B$1:$C$295,2,FALSE)</f>
        <v>#N/A</v>
      </c>
      <c r="B1538" s="74" t="s">
        <v>3765</v>
      </c>
      <c r="C1538" s="74" t="s">
        <v>3766</v>
      </c>
      <c r="D1538" s="74">
        <v>0</v>
      </c>
      <c r="E1538" s="74">
        <v>1.6715399999999998</v>
      </c>
      <c r="F1538" s="74">
        <v>0</v>
      </c>
      <c r="G1538" s="74">
        <v>0.30347999999999997</v>
      </c>
      <c r="H1538" s="74">
        <v>0</v>
      </c>
      <c r="I1538" s="74"/>
      <c r="J1538" s="74">
        <v>0</v>
      </c>
      <c r="K1538" s="74">
        <v>0.32817350725240946</v>
      </c>
      <c r="L1538" s="74">
        <v>0</v>
      </c>
      <c r="M1538" s="74">
        <v>5.9582239121385813E-2</v>
      </c>
      <c r="N1538" s="74">
        <v>0</v>
      </c>
    </row>
    <row r="1539" spans="1:14" x14ac:dyDescent="0.25">
      <c r="A1539" t="e">
        <f>VLOOKUP(VALUE(RIGHT(B1539,4)),'Waste Lookups'!$B$1:$C$295,2,FALSE)</f>
        <v>#N/A</v>
      </c>
      <c r="B1539" s="74" t="s">
        <v>3767</v>
      </c>
      <c r="C1539" s="74" t="s">
        <v>3768</v>
      </c>
      <c r="D1539" s="74">
        <v>8.6035151515151522</v>
      </c>
      <c r="E1539" s="74">
        <v>6.7240800000000007</v>
      </c>
      <c r="F1539" s="74">
        <v>0.60936363636363622</v>
      </c>
      <c r="G1539" s="74">
        <v>7.4932199999999991</v>
      </c>
      <c r="H1539" s="74">
        <v>0</v>
      </c>
      <c r="I1539" s="74"/>
      <c r="J1539" s="74">
        <v>2.5486415627242098</v>
      </c>
      <c r="K1539" s="74">
        <v>1.9918916230495149</v>
      </c>
      <c r="L1539" s="74">
        <v>0.18051336728053766</v>
      </c>
      <c r="M1539" s="74">
        <v>2.2197359560961623</v>
      </c>
      <c r="N1539" s="74">
        <v>0</v>
      </c>
    </row>
    <row r="1540" spans="1:14" x14ac:dyDescent="0.25">
      <c r="A1540" t="e">
        <f>VLOOKUP(VALUE(RIGHT(B1540,4)),'Waste Lookups'!$B$1:$C$295,2,FALSE)</f>
        <v>#N/A</v>
      </c>
      <c r="B1540" s="74" t="s">
        <v>3769</v>
      </c>
      <c r="C1540" s="74" t="s">
        <v>3770</v>
      </c>
      <c r="D1540" s="74">
        <v>7.2756060606060604</v>
      </c>
      <c r="E1540" s="74">
        <v>4.7814599999999992</v>
      </c>
      <c r="F1540" s="74">
        <v>0.90305454545454555</v>
      </c>
      <c r="G1540" s="74">
        <v>4.9748400000000004</v>
      </c>
      <c r="H1540" s="74">
        <v>0</v>
      </c>
      <c r="I1540" s="74"/>
      <c r="J1540" s="74">
        <v>1.8518852447437193</v>
      </c>
      <c r="K1540" s="74">
        <v>1.2170415974383726</v>
      </c>
      <c r="L1540" s="74">
        <v>0.22985760553763568</v>
      </c>
      <c r="M1540" s="74">
        <v>1.2662632795422974</v>
      </c>
      <c r="N1540" s="74">
        <v>0</v>
      </c>
    </row>
    <row r="1541" spans="1:14" x14ac:dyDescent="0.25">
      <c r="A1541" t="e">
        <f>VLOOKUP(VALUE(RIGHT(B1541,4)),'Waste Lookups'!$B$1:$C$295,2,FALSE)</f>
        <v>#N/A</v>
      </c>
      <c r="B1541" s="74" t="s">
        <v>3771</v>
      </c>
      <c r="C1541" s="74" t="s">
        <v>3772</v>
      </c>
      <c r="D1541" s="74">
        <v>3.8739090909090916</v>
      </c>
      <c r="E1541" s="74">
        <v>0.42899999999999999</v>
      </c>
      <c r="F1541" s="74">
        <v>0</v>
      </c>
      <c r="G1541" s="74">
        <v>0</v>
      </c>
      <c r="H1541" s="74">
        <v>0</v>
      </c>
      <c r="I1541" s="74"/>
      <c r="J1541" s="74">
        <v>0</v>
      </c>
      <c r="K1541" s="74">
        <v>0</v>
      </c>
      <c r="L1541" s="74">
        <v>0</v>
      </c>
      <c r="M1541" s="74">
        <v>0</v>
      </c>
      <c r="N1541" s="74">
        <v>0</v>
      </c>
    </row>
    <row r="1542" spans="1:14" x14ac:dyDescent="0.25">
      <c r="A1542" t="e">
        <f>VLOOKUP(VALUE(RIGHT(B1542,4)),'Waste Lookups'!$B$1:$C$295,2,FALSE)</f>
        <v>#N/A</v>
      </c>
      <c r="B1542" s="74" t="s">
        <v>3773</v>
      </c>
      <c r="C1542" s="74" t="s">
        <v>3774</v>
      </c>
      <c r="D1542" s="74">
        <v>2.0154545454545456</v>
      </c>
      <c r="E1542" s="74">
        <v>4.8897599999999999</v>
      </c>
      <c r="F1542" s="74">
        <v>0.12267272727272728</v>
      </c>
      <c r="G1542" s="74">
        <v>1.1948399999999999</v>
      </c>
      <c r="H1542" s="74">
        <v>0</v>
      </c>
      <c r="I1542" s="74"/>
      <c r="J1542" s="74">
        <v>0.55977285171012159</v>
      </c>
      <c r="K1542" s="74">
        <v>1.3580831706431629</v>
      </c>
      <c r="L1542" s="74">
        <v>3.4071154086496976E-2</v>
      </c>
      <c r="M1542" s="74">
        <v>0.33185516172803503</v>
      </c>
      <c r="N1542" s="74">
        <v>0</v>
      </c>
    </row>
    <row r="1543" spans="1:14" x14ac:dyDescent="0.25">
      <c r="A1543" t="e">
        <f>VLOOKUP(VALUE(RIGHT(B1543,4)),'Waste Lookups'!$B$1:$C$295,2,FALSE)</f>
        <v>#N/A</v>
      </c>
      <c r="B1543" s="74" t="s">
        <v>3775</v>
      </c>
      <c r="C1543" s="74" t="s">
        <v>3776</v>
      </c>
      <c r="D1543" s="74">
        <v>7.8609696969696969</v>
      </c>
      <c r="E1543" s="74">
        <v>3.97512</v>
      </c>
      <c r="F1543" s="74">
        <v>0.59763636363636363</v>
      </c>
      <c r="G1543" s="74">
        <v>4.0990500000000001</v>
      </c>
      <c r="H1543" s="74">
        <v>0</v>
      </c>
      <c r="I1543" s="74"/>
      <c r="J1543" s="74">
        <v>2.1391064368326216</v>
      </c>
      <c r="K1543" s="74">
        <v>1.0816992186676369</v>
      </c>
      <c r="L1543" s="74">
        <v>0.16262723832055942</v>
      </c>
      <c r="M1543" s="74">
        <v>1.1154227249188897</v>
      </c>
      <c r="N1543" s="74">
        <v>0</v>
      </c>
    </row>
    <row r="1544" spans="1:14" x14ac:dyDescent="0.25">
      <c r="A1544" t="e">
        <f>VLOOKUP(VALUE(RIGHT(B1544,4)),'Waste Lookups'!$B$1:$C$295,2,FALSE)</f>
        <v>#N/A</v>
      </c>
      <c r="B1544" s="74" t="s">
        <v>3777</v>
      </c>
      <c r="C1544" s="74" t="s">
        <v>3778</v>
      </c>
      <c r="D1544" s="74">
        <v>9.9280000000000008</v>
      </c>
      <c r="E1544" s="74">
        <v>4.3425000000000002</v>
      </c>
      <c r="F1544" s="74">
        <v>0.80319999999999991</v>
      </c>
      <c r="G1544" s="74">
        <v>6.8619599999999998</v>
      </c>
      <c r="H1544" s="74">
        <v>0</v>
      </c>
      <c r="I1544" s="74"/>
      <c r="J1544" s="74">
        <v>1.7540177600484737</v>
      </c>
      <c r="K1544" s="74">
        <v>0.76720609619364388</v>
      </c>
      <c r="L1544" s="74">
        <v>0.14190441829884509</v>
      </c>
      <c r="M1544" s="74">
        <v>1.2123287377862837</v>
      </c>
      <c r="N1544" s="74">
        <v>0</v>
      </c>
    </row>
    <row r="1545" spans="1:14" x14ac:dyDescent="0.25">
      <c r="A1545" t="str">
        <f>VLOOKUP(VALUE(RIGHT(B1545,4)),'Waste Lookups'!$B$1:$C$295,2,FALSE)</f>
        <v>Sanger House</v>
      </c>
      <c r="B1545" s="74" t="s">
        <v>647</v>
      </c>
      <c r="C1545" s="74" t="s">
        <v>3779</v>
      </c>
      <c r="D1545" s="74">
        <v>0</v>
      </c>
      <c r="E1545" s="74">
        <v>38.550659999999993</v>
      </c>
      <c r="F1545" s="74">
        <v>0</v>
      </c>
      <c r="G1545" s="74">
        <v>17.220869999999998</v>
      </c>
      <c r="H1545" s="74">
        <v>6.5352695720765128</v>
      </c>
      <c r="I1545" s="74"/>
      <c r="J1545" s="74">
        <v>0</v>
      </c>
      <c r="K1545" s="74">
        <v>25.620181914316738</v>
      </c>
      <c r="L1545" s="74">
        <v>0</v>
      </c>
      <c r="M1545" s="74">
        <v>11.444728109007725</v>
      </c>
      <c r="N1545" s="74">
        <v>4.3432406940814809</v>
      </c>
    </row>
    <row r="1546" spans="1:14" x14ac:dyDescent="0.25">
      <c r="A1546" t="e">
        <f>VLOOKUP(VALUE(RIGHT(B1546,4)),'Waste Lookups'!$B$1:$C$295,2,FALSE)</f>
        <v>#N/A</v>
      </c>
      <c r="B1546" s="74" t="s">
        <v>3780</v>
      </c>
      <c r="C1546" s="74" t="s">
        <v>3781</v>
      </c>
      <c r="D1546" s="74">
        <v>0</v>
      </c>
      <c r="E1546" s="74">
        <v>2.2982399999999998</v>
      </c>
      <c r="F1546" s="74">
        <v>0</v>
      </c>
      <c r="G1546" s="74">
        <v>0.84716999999999998</v>
      </c>
      <c r="H1546" s="74">
        <v>0</v>
      </c>
      <c r="I1546" s="74"/>
      <c r="J1546" s="74">
        <v>0</v>
      </c>
      <c r="K1546" s="74">
        <v>3.9709665368736511</v>
      </c>
      <c r="L1546" s="74">
        <v>0</v>
      </c>
      <c r="M1546" s="74">
        <v>1.4637651946895236</v>
      </c>
      <c r="N1546" s="74">
        <v>0</v>
      </c>
    </row>
    <row r="1547" spans="1:14" x14ac:dyDescent="0.25">
      <c r="A1547" t="e">
        <f>VLOOKUP(VALUE(RIGHT(B1547,4)),'Waste Lookups'!$B$1:$C$295,2,FALSE)</f>
        <v>#N/A</v>
      </c>
      <c r="B1547" s="74" t="s">
        <v>3782</v>
      </c>
      <c r="C1547" s="74" t="s">
        <v>3783</v>
      </c>
      <c r="D1547" s="74">
        <v>5.4915757575757578</v>
      </c>
      <c r="E1547" s="74">
        <v>15.020760000000001</v>
      </c>
      <c r="F1547" s="74">
        <v>0.78874545454545453</v>
      </c>
      <c r="G1547" s="74">
        <v>8.5031100000000013</v>
      </c>
      <c r="H1547" s="74">
        <v>0</v>
      </c>
      <c r="I1547" s="74"/>
      <c r="J1547" s="74">
        <v>2.227309220637006</v>
      </c>
      <c r="K1547" s="74">
        <v>6.092218103851585</v>
      </c>
      <c r="L1547" s="74">
        <v>0.3199045412823629</v>
      </c>
      <c r="M1547" s="74">
        <v>3.4487469795830203</v>
      </c>
      <c r="N1547" s="74">
        <v>0</v>
      </c>
    </row>
    <row r="1548" spans="1:14" x14ac:dyDescent="0.25">
      <c r="A1548" t="e">
        <f>VLOOKUP(VALUE(RIGHT(B1548,4)),'Waste Lookups'!$B$1:$C$295,2,FALSE)</f>
        <v>#N/A</v>
      </c>
      <c r="B1548" s="74" t="s">
        <v>3784</v>
      </c>
      <c r="C1548" s="74" t="s">
        <v>3785</v>
      </c>
      <c r="D1548" s="74">
        <v>1.8869090909090911</v>
      </c>
      <c r="E1548" s="74">
        <v>1.7616000000000001</v>
      </c>
      <c r="F1548" s="74">
        <v>9.7690909090909092E-2</v>
      </c>
      <c r="G1548" s="74">
        <v>1.5403500000000001</v>
      </c>
      <c r="H1548" s="74">
        <v>0</v>
      </c>
      <c r="I1548" s="74"/>
      <c r="J1548" s="74">
        <v>0.94472636323273396</v>
      </c>
      <c r="K1548" s="74">
        <v>0.88198735672473627</v>
      </c>
      <c r="L1548" s="74">
        <v>4.8911300343510114E-2</v>
      </c>
      <c r="M1548" s="74">
        <v>0.77121322941130088</v>
      </c>
      <c r="N1548" s="74">
        <v>0</v>
      </c>
    </row>
    <row r="1549" spans="1:14" x14ac:dyDescent="0.25">
      <c r="A1549" t="e">
        <f>VLOOKUP(VALUE(RIGHT(B1549,4)),'Waste Lookups'!$B$1:$C$295,2,FALSE)</f>
        <v>#N/A</v>
      </c>
      <c r="B1549" s="74" t="s">
        <v>3786</v>
      </c>
      <c r="C1549" s="74" t="s">
        <v>3787</v>
      </c>
      <c r="D1549" s="74">
        <v>3.6027575757575758</v>
      </c>
      <c r="E1549" s="74">
        <v>5.8750799999999996</v>
      </c>
      <c r="F1549" s="74">
        <v>0.22470909090909094</v>
      </c>
      <c r="G1549" s="74">
        <v>3.1943699999999997</v>
      </c>
      <c r="H1549" s="74">
        <v>0</v>
      </c>
      <c r="I1549" s="74"/>
      <c r="J1549" s="74">
        <v>1.261908740279494</v>
      </c>
      <c r="K1549" s="74">
        <v>2.0578167267561147</v>
      </c>
      <c r="L1549" s="74">
        <v>7.8707034785379548E-2</v>
      </c>
      <c r="M1549" s="74">
        <v>1.118866129048103</v>
      </c>
      <c r="N1549" s="74">
        <v>0</v>
      </c>
    </row>
    <row r="1550" spans="1:14" x14ac:dyDescent="0.25">
      <c r="A1550" t="e">
        <f>VLOOKUP(VALUE(RIGHT(B1550,4)),'Waste Lookups'!$B$1:$C$295,2,FALSE)</f>
        <v>#N/A</v>
      </c>
      <c r="B1550" s="74" t="s">
        <v>3788</v>
      </c>
      <c r="C1550" s="74" t="s">
        <v>3789</v>
      </c>
      <c r="D1550" s="74">
        <v>2.0451515151515154</v>
      </c>
      <c r="E1550" s="74">
        <v>7.1479799999999996</v>
      </c>
      <c r="F1550" s="74">
        <v>1.0735454545454546</v>
      </c>
      <c r="G1550" s="74">
        <v>1.5143399999999998</v>
      </c>
      <c r="H1550" s="74">
        <v>0</v>
      </c>
      <c r="I1550" s="74"/>
      <c r="J1550" s="74">
        <v>3.3699562836568533</v>
      </c>
      <c r="K1550" s="74">
        <v>11.778286321573063</v>
      </c>
      <c r="L1550" s="74">
        <v>1.7689649023723717</v>
      </c>
      <c r="M1550" s="74">
        <v>2.495296588436307</v>
      </c>
      <c r="N1550" s="74">
        <v>0</v>
      </c>
    </row>
    <row r="1551" spans="1:14" x14ac:dyDescent="0.25">
      <c r="A1551" t="e">
        <f>VLOOKUP(VALUE(RIGHT(B1551,4)),'Waste Lookups'!$B$1:$C$295,2,FALSE)</f>
        <v>#N/A</v>
      </c>
      <c r="B1551" s="74" t="s">
        <v>3790</v>
      </c>
      <c r="C1551" s="74" t="s">
        <v>3791</v>
      </c>
      <c r="D1551" s="74">
        <v>4.288484848484849</v>
      </c>
      <c r="E1551" s="74">
        <v>17.008859999999999</v>
      </c>
      <c r="F1551" s="74">
        <v>4.8073272727272736</v>
      </c>
      <c r="G1551" s="74">
        <v>11.588039999999999</v>
      </c>
      <c r="H1551" s="74">
        <v>0.50887004535594549</v>
      </c>
      <c r="I1551" s="74"/>
      <c r="J1551" s="74">
        <v>5.4041501087433979</v>
      </c>
      <c r="K1551" s="74">
        <v>21.43377809789316</v>
      </c>
      <c r="L1551" s="74">
        <v>6.0579713165718516</v>
      </c>
      <c r="M1551" s="74">
        <v>14.602711642609195</v>
      </c>
      <c r="N1551" s="74">
        <v>0.64125447753842213</v>
      </c>
    </row>
    <row r="1552" spans="1:14" x14ac:dyDescent="0.25">
      <c r="A1552" t="e">
        <f>VLOOKUP(VALUE(RIGHT(B1552,4)),'Waste Lookups'!$B$1:$C$295,2,FALSE)</f>
        <v>#N/A</v>
      </c>
      <c r="B1552" s="74" t="s">
        <v>3792</v>
      </c>
      <c r="C1552" s="74" t="s">
        <v>3793</v>
      </c>
      <c r="D1552" s="74">
        <v>0</v>
      </c>
      <c r="E1552" s="74">
        <v>0</v>
      </c>
      <c r="F1552" s="74">
        <v>2.3334545454545461</v>
      </c>
      <c r="G1552" s="74">
        <v>0</v>
      </c>
      <c r="H1552" s="74">
        <v>0</v>
      </c>
      <c r="I1552" s="74"/>
      <c r="J1552" s="74">
        <v>0</v>
      </c>
      <c r="K1552" s="74">
        <v>0</v>
      </c>
      <c r="L1552" s="74">
        <v>0</v>
      </c>
      <c r="M1552" s="74">
        <v>0</v>
      </c>
      <c r="N1552" s="74">
        <v>0</v>
      </c>
    </row>
    <row r="1553" spans="1:14" x14ac:dyDescent="0.25">
      <c r="A1553" t="str">
        <f>VLOOKUP(VALUE(RIGHT(B1553,4)),'Waste Lookups'!$B$1:$C$295,2,FALSE)</f>
        <v>West Swindon HC</v>
      </c>
      <c r="B1553" s="74" t="s">
        <v>648</v>
      </c>
      <c r="C1553" s="74" t="s">
        <v>3794</v>
      </c>
      <c r="D1553" s="74">
        <v>1.2212121212121212E-2</v>
      </c>
      <c r="E1553" s="74">
        <v>5.78322</v>
      </c>
      <c r="F1553" s="74">
        <v>3.3839090909090914</v>
      </c>
      <c r="G1553" s="74">
        <v>2.0762100000000001</v>
      </c>
      <c r="H1553" s="74">
        <v>0</v>
      </c>
      <c r="I1553" s="74"/>
      <c r="J1553" s="74">
        <v>2.7555600584799143E-2</v>
      </c>
      <c r="K1553" s="74">
        <v>13.049338247302057</v>
      </c>
      <c r="L1553" s="74">
        <v>7.6354996568335869</v>
      </c>
      <c r="M1553" s="74">
        <v>4.6847891939838027</v>
      </c>
      <c r="N1553" s="74">
        <v>0</v>
      </c>
    </row>
    <row r="1554" spans="1:14" x14ac:dyDescent="0.25">
      <c r="A1554" t="e">
        <f>VLOOKUP(VALUE(RIGHT(B1554,4)),'Waste Lookups'!$B$1:$C$295,2,FALSE)</f>
        <v>#N/A</v>
      </c>
      <c r="B1554" s="74" t="s">
        <v>3795</v>
      </c>
      <c r="C1554" s="74" t="s">
        <v>3796</v>
      </c>
      <c r="D1554" s="74">
        <v>2.6097272727272731</v>
      </c>
      <c r="E1554" s="74">
        <v>11.256780000000001</v>
      </c>
      <c r="F1554" s="74">
        <v>0.39478181818181823</v>
      </c>
      <c r="G1554" s="74">
        <v>3.0484800000000005</v>
      </c>
      <c r="H1554" s="74">
        <v>1.1453993295208045</v>
      </c>
      <c r="I1554" s="74"/>
      <c r="J1554" s="74">
        <v>2.8987619627359966</v>
      </c>
      <c r="K1554" s="74">
        <v>12.503500280620072</v>
      </c>
      <c r="L1554" s="74">
        <v>0.43850502314339151</v>
      </c>
      <c r="M1554" s="74">
        <v>3.3861077977418659</v>
      </c>
      <c r="N1554" s="74">
        <v>1.2722555507068116</v>
      </c>
    </row>
    <row r="1555" spans="1:14" x14ac:dyDescent="0.25">
      <c r="A1555" t="e">
        <f>VLOOKUP(VALUE(RIGHT(B1555,4)),'Waste Lookups'!$B$1:$C$295,2,FALSE)</f>
        <v>#N/A</v>
      </c>
      <c r="B1555" s="74" t="s">
        <v>3797</v>
      </c>
      <c r="C1555" s="74" t="s">
        <v>3798</v>
      </c>
      <c r="D1555" s="74">
        <v>0</v>
      </c>
      <c r="E1555" s="74">
        <v>5.5758599999999996</v>
      </c>
      <c r="F1555" s="74">
        <v>0</v>
      </c>
      <c r="G1555" s="74">
        <v>0.29699999999999999</v>
      </c>
      <c r="H1555" s="74">
        <v>0</v>
      </c>
      <c r="I1555" s="74"/>
      <c r="J1555" s="74">
        <v>0</v>
      </c>
      <c r="K1555" s="74">
        <v>3.2311318075256414</v>
      </c>
      <c r="L1555" s="74">
        <v>0</v>
      </c>
      <c r="M1555" s="74">
        <v>0.17210728871153788</v>
      </c>
      <c r="N1555" s="74">
        <v>0</v>
      </c>
    </row>
    <row r="1556" spans="1:14" x14ac:dyDescent="0.25">
      <c r="A1556" t="e">
        <f>VLOOKUP(VALUE(RIGHT(B1556,4)),'Waste Lookups'!$B$1:$C$295,2,FALSE)</f>
        <v>#N/A</v>
      </c>
      <c r="B1556" s="74" t="s">
        <v>3799</v>
      </c>
      <c r="C1556" s="74" t="s">
        <v>3800</v>
      </c>
      <c r="D1556" s="74">
        <v>0</v>
      </c>
      <c r="E1556" s="74">
        <v>8.2208400000000008</v>
      </c>
      <c r="F1556" s="74">
        <v>0</v>
      </c>
      <c r="G1556" s="74">
        <v>0.29699999999999999</v>
      </c>
      <c r="H1556" s="74">
        <v>0</v>
      </c>
      <c r="I1556" s="74"/>
      <c r="J1556" s="74">
        <v>0</v>
      </c>
      <c r="K1556" s="74">
        <v>3.4952172384794102</v>
      </c>
      <c r="L1556" s="74">
        <v>0</v>
      </c>
      <c r="M1556" s="74">
        <v>0.12627414228088429</v>
      </c>
      <c r="N1556" s="74">
        <v>0</v>
      </c>
    </row>
    <row r="1557" spans="1:14" x14ac:dyDescent="0.25">
      <c r="A1557" t="e">
        <f>VLOOKUP(VALUE(RIGHT(B1557,4)),'Waste Lookups'!$B$1:$C$295,2,FALSE)</f>
        <v>#N/A</v>
      </c>
      <c r="B1557" s="74" t="s">
        <v>3801</v>
      </c>
      <c r="C1557" s="74" t="s">
        <v>3802</v>
      </c>
      <c r="D1557" s="74">
        <v>0</v>
      </c>
      <c r="E1557" s="74">
        <v>14.84304</v>
      </c>
      <c r="F1557" s="74">
        <v>0</v>
      </c>
      <c r="G1557" s="74">
        <v>0.378</v>
      </c>
      <c r="H1557" s="74">
        <v>0</v>
      </c>
      <c r="I1557" s="74"/>
      <c r="J1557" s="74">
        <v>0</v>
      </c>
      <c r="K1557" s="74">
        <v>7.1922868412935639</v>
      </c>
      <c r="L1557" s="74">
        <v>0</v>
      </c>
      <c r="M1557" s="74">
        <v>0.18316223805965404</v>
      </c>
      <c r="N1557" s="74">
        <v>0</v>
      </c>
    </row>
    <row r="1558" spans="1:14" x14ac:dyDescent="0.25">
      <c r="A1558" t="e">
        <f>VLOOKUP(VALUE(RIGHT(B1558,4)),'Waste Lookups'!$B$1:$C$295,2,FALSE)</f>
        <v>#N/A</v>
      </c>
      <c r="B1558" s="74" t="s">
        <v>3803</v>
      </c>
      <c r="C1558" s="74" t="s">
        <v>3804</v>
      </c>
      <c r="D1558" s="74">
        <v>0</v>
      </c>
      <c r="E1558" s="74">
        <v>7.98</v>
      </c>
      <c r="F1558" s="74">
        <v>0</v>
      </c>
      <c r="G1558" s="74">
        <v>0.34559999999999996</v>
      </c>
      <c r="H1558" s="74">
        <v>0.35620903174916191</v>
      </c>
      <c r="I1558" s="74"/>
      <c r="J1558" s="74">
        <v>0</v>
      </c>
      <c r="K1558" s="74">
        <v>6.7220924543145806</v>
      </c>
      <c r="L1558" s="74">
        <v>0</v>
      </c>
      <c r="M1558" s="74">
        <v>0.2911221995252028</v>
      </c>
      <c r="N1558" s="74">
        <v>0.30005890281701048</v>
      </c>
    </row>
    <row r="1559" spans="1:14" x14ac:dyDescent="0.25">
      <c r="A1559" t="e">
        <f>VLOOKUP(VALUE(RIGHT(B1559,4)),'Waste Lookups'!$B$1:$C$295,2,FALSE)</f>
        <v>#N/A</v>
      </c>
      <c r="B1559" s="74" t="s">
        <v>3805</v>
      </c>
      <c r="C1559" s="74" t="s">
        <v>3806</v>
      </c>
      <c r="D1559" s="74">
        <v>0</v>
      </c>
      <c r="E1559" s="74">
        <v>5.8765799999999997</v>
      </c>
      <c r="F1559" s="74">
        <v>0</v>
      </c>
      <c r="G1559" s="74">
        <v>0</v>
      </c>
      <c r="H1559" s="74">
        <v>0</v>
      </c>
      <c r="I1559" s="74"/>
      <c r="J1559" s="74">
        <v>0</v>
      </c>
      <c r="K1559" s="74">
        <v>5.7834149999999998</v>
      </c>
      <c r="L1559" s="74">
        <v>0</v>
      </c>
      <c r="M1559" s="74">
        <v>0</v>
      </c>
      <c r="N1559" s="74">
        <v>0</v>
      </c>
    </row>
    <row r="1560" spans="1:14" x14ac:dyDescent="0.25">
      <c r="A1560" t="e">
        <f>VLOOKUP(VALUE(RIGHT(B1560,4)),'Waste Lookups'!$B$1:$C$295,2,FALSE)</f>
        <v>#N/A</v>
      </c>
      <c r="B1560" s="74" t="s">
        <v>3807</v>
      </c>
      <c r="C1560" s="74" t="s">
        <v>3808</v>
      </c>
      <c r="D1560" s="74">
        <v>0</v>
      </c>
      <c r="E1560" s="74">
        <v>2.7228000000000003</v>
      </c>
      <c r="F1560" s="74">
        <v>0</v>
      </c>
      <c r="G1560" s="74">
        <v>0.2268</v>
      </c>
      <c r="H1560" s="74">
        <v>0</v>
      </c>
      <c r="I1560" s="74"/>
      <c r="J1560" s="74">
        <v>0</v>
      </c>
      <c r="K1560" s="74">
        <v>0.29002462212943636</v>
      </c>
      <c r="L1560" s="74">
        <v>0</v>
      </c>
      <c r="M1560" s="74">
        <v>2.4158066805845511E-2</v>
      </c>
      <c r="N1560" s="74">
        <v>0</v>
      </c>
    </row>
    <row r="1561" spans="1:14" x14ac:dyDescent="0.25">
      <c r="A1561" t="e">
        <f>VLOOKUP(VALUE(RIGHT(B1561,4)),'Waste Lookups'!$B$1:$C$295,2,FALSE)</f>
        <v>#N/A</v>
      </c>
      <c r="B1561" s="74" t="s">
        <v>3809</v>
      </c>
      <c r="C1561" s="74" t="s">
        <v>3810</v>
      </c>
      <c r="D1561" s="74">
        <v>0</v>
      </c>
      <c r="E1561" s="74">
        <v>9.5591399999999993</v>
      </c>
      <c r="F1561" s="74">
        <v>0</v>
      </c>
      <c r="G1561" s="74">
        <v>0</v>
      </c>
      <c r="H1561" s="74">
        <v>0</v>
      </c>
      <c r="I1561" s="74"/>
      <c r="J1561" s="74">
        <v>0</v>
      </c>
      <c r="K1561" s="74">
        <v>6.9077799999999998</v>
      </c>
      <c r="L1561" s="74">
        <v>0</v>
      </c>
      <c r="M1561" s="74">
        <v>0</v>
      </c>
      <c r="N1561" s="74">
        <v>0</v>
      </c>
    </row>
    <row r="1562" spans="1:14" x14ac:dyDescent="0.25">
      <c r="A1562" t="e">
        <f>VLOOKUP(VALUE(RIGHT(B1562,4)),'Waste Lookups'!$B$1:$C$295,2,FALSE)</f>
        <v>#N/A</v>
      </c>
      <c r="B1562" s="74" t="s">
        <v>3811</v>
      </c>
      <c r="C1562" s="74" t="s">
        <v>3812</v>
      </c>
      <c r="D1562" s="74">
        <v>0</v>
      </c>
      <c r="E1562" s="74">
        <v>13.699380000000001</v>
      </c>
      <c r="F1562" s="74">
        <v>0</v>
      </c>
      <c r="G1562" s="74">
        <v>3.2399999999999998E-2</v>
      </c>
      <c r="H1562" s="74">
        <v>0</v>
      </c>
      <c r="I1562" s="74"/>
      <c r="J1562" s="74">
        <v>0</v>
      </c>
      <c r="K1562" s="74">
        <v>7.9209858731300526</v>
      </c>
      <c r="L1562" s="74">
        <v>0</v>
      </c>
      <c r="M1562" s="74">
        <v>1.8733690304919906E-2</v>
      </c>
      <c r="N1562" s="74">
        <v>0</v>
      </c>
    </row>
    <row r="1563" spans="1:14" x14ac:dyDescent="0.25">
      <c r="A1563" t="e">
        <f>VLOOKUP(VALUE(RIGHT(B1563,4)),'Waste Lookups'!$B$1:$C$295,2,FALSE)</f>
        <v>#N/A</v>
      </c>
      <c r="B1563" s="74" t="s">
        <v>3813</v>
      </c>
      <c r="C1563" s="74" t="s">
        <v>3814</v>
      </c>
      <c r="D1563" s="74">
        <v>0</v>
      </c>
      <c r="E1563" s="74">
        <v>0.79200000000000004</v>
      </c>
      <c r="F1563" s="74">
        <v>0</v>
      </c>
      <c r="G1563" s="74">
        <v>0</v>
      </c>
      <c r="H1563" s="74">
        <v>0</v>
      </c>
      <c r="I1563" s="74"/>
      <c r="J1563" s="74">
        <v>0</v>
      </c>
      <c r="K1563" s="74">
        <v>0</v>
      </c>
      <c r="L1563" s="74">
        <v>0</v>
      </c>
      <c r="M1563" s="74">
        <v>0</v>
      </c>
      <c r="N1563" s="74">
        <v>0</v>
      </c>
    </row>
    <row r="1564" spans="1:14" x14ac:dyDescent="0.25">
      <c r="A1564" t="e">
        <f>VLOOKUP(VALUE(RIGHT(B1564,4)),'Waste Lookups'!$B$1:$C$295,2,FALSE)</f>
        <v>#N/A</v>
      </c>
      <c r="B1564" s="74" t="s">
        <v>3815</v>
      </c>
      <c r="C1564" s="74" t="s">
        <v>3816</v>
      </c>
      <c r="D1564" s="74">
        <v>0</v>
      </c>
      <c r="E1564" s="74">
        <v>6.0388799999999998</v>
      </c>
      <c r="F1564" s="74">
        <v>0</v>
      </c>
      <c r="G1564" s="74">
        <v>0.189</v>
      </c>
      <c r="H1564" s="74">
        <v>0</v>
      </c>
      <c r="I1564" s="74"/>
      <c r="J1564" s="74">
        <v>0</v>
      </c>
      <c r="K1564" s="74">
        <v>3.8358017779421498</v>
      </c>
      <c r="L1564" s="74">
        <v>0</v>
      </c>
      <c r="M1564" s="74">
        <v>0.1200498330867754</v>
      </c>
      <c r="N1564" s="74">
        <v>0</v>
      </c>
    </row>
    <row r="1565" spans="1:14" x14ac:dyDescent="0.25">
      <c r="A1565" t="e">
        <f>VLOOKUP(VALUE(RIGHT(B1565,4)),'Waste Lookups'!$B$1:$C$295,2,FALSE)</f>
        <v>#N/A</v>
      </c>
      <c r="B1565" s="74" t="s">
        <v>3817</v>
      </c>
      <c r="C1565" s="74" t="s">
        <v>3818</v>
      </c>
      <c r="D1565" s="74">
        <v>0</v>
      </c>
      <c r="E1565" s="74">
        <v>3.7907400000000004</v>
      </c>
      <c r="F1565" s="74">
        <v>0</v>
      </c>
      <c r="G1565" s="74">
        <v>0.12959999999999999</v>
      </c>
      <c r="H1565" s="74">
        <v>0</v>
      </c>
      <c r="I1565" s="74"/>
      <c r="J1565" s="74">
        <v>0</v>
      </c>
      <c r="K1565" s="74">
        <v>1.2896703389869855</v>
      </c>
      <c r="L1565" s="74">
        <v>0</v>
      </c>
      <c r="M1565" s="74">
        <v>4.4091991519522117E-2</v>
      </c>
      <c r="N1565" s="74">
        <v>0</v>
      </c>
    </row>
    <row r="1566" spans="1:14" x14ac:dyDescent="0.25">
      <c r="A1566" t="e">
        <f>VLOOKUP(VALUE(RIGHT(B1566,4)),'Waste Lookups'!$B$1:$C$295,2,FALSE)</f>
        <v>#N/A</v>
      </c>
      <c r="B1566" s="74" t="s">
        <v>3819</v>
      </c>
      <c r="C1566" s="74" t="s">
        <v>3820</v>
      </c>
      <c r="D1566" s="74">
        <v>0</v>
      </c>
      <c r="E1566" s="74">
        <v>11.057580000000002</v>
      </c>
      <c r="F1566" s="74">
        <v>0</v>
      </c>
      <c r="G1566" s="74">
        <v>2.1599999999999998E-2</v>
      </c>
      <c r="H1566" s="74">
        <v>0</v>
      </c>
      <c r="I1566" s="74"/>
      <c r="J1566" s="74">
        <v>0</v>
      </c>
      <c r="K1566" s="74">
        <v>5.0765439483181884</v>
      </c>
      <c r="L1566" s="74">
        <v>0</v>
      </c>
      <c r="M1566" s="74">
        <v>9.9165775227195128E-3</v>
      </c>
      <c r="N1566" s="74">
        <v>0</v>
      </c>
    </row>
    <row r="1567" spans="1:14" x14ac:dyDescent="0.25">
      <c r="A1567" t="e">
        <f>VLOOKUP(VALUE(RIGHT(B1567,4)),'Waste Lookups'!$B$1:$C$295,2,FALSE)</f>
        <v>#N/A</v>
      </c>
      <c r="B1567" s="74" t="s">
        <v>3821</v>
      </c>
      <c r="C1567" s="74" t="s">
        <v>3822</v>
      </c>
      <c r="D1567" s="74">
        <v>0</v>
      </c>
      <c r="E1567" s="74">
        <v>5.559540000000001</v>
      </c>
      <c r="F1567" s="74">
        <v>0</v>
      </c>
      <c r="G1567" s="74">
        <v>0.11879999999999999</v>
      </c>
      <c r="H1567" s="74">
        <v>0</v>
      </c>
      <c r="I1567" s="74"/>
      <c r="J1567" s="74">
        <v>0</v>
      </c>
      <c r="K1567" s="74">
        <v>4.2873335765436957</v>
      </c>
      <c r="L1567" s="74">
        <v>0</v>
      </c>
      <c r="M1567" s="74">
        <v>9.1614635184456075E-2</v>
      </c>
      <c r="N1567" s="74">
        <v>0</v>
      </c>
    </row>
    <row r="1568" spans="1:14" x14ac:dyDescent="0.25">
      <c r="A1568" t="e">
        <f>VLOOKUP(VALUE(RIGHT(B1568,4)),'Waste Lookups'!$B$1:$C$295,2,FALSE)</f>
        <v>#N/A</v>
      </c>
      <c r="B1568" s="74" t="s">
        <v>3823</v>
      </c>
      <c r="C1568" s="74" t="s">
        <v>3824</v>
      </c>
      <c r="D1568" s="74">
        <v>0</v>
      </c>
      <c r="E1568" s="74">
        <v>2.8844400000000001</v>
      </c>
      <c r="F1568" s="74">
        <v>0</v>
      </c>
      <c r="G1568" s="74">
        <v>0</v>
      </c>
      <c r="H1568" s="74">
        <v>0</v>
      </c>
      <c r="I1568" s="74"/>
      <c r="J1568" s="74">
        <v>0</v>
      </c>
      <c r="K1568" s="74">
        <v>3.0599250000000002</v>
      </c>
      <c r="L1568" s="74">
        <v>0</v>
      </c>
      <c r="M1568" s="74">
        <v>0</v>
      </c>
      <c r="N1568" s="74">
        <v>0</v>
      </c>
    </row>
    <row r="1569" spans="1:14" x14ac:dyDescent="0.25">
      <c r="A1569" t="e">
        <f>VLOOKUP(VALUE(RIGHT(B1569,4)),'Waste Lookups'!$B$1:$C$295,2,FALSE)</f>
        <v>#N/A</v>
      </c>
      <c r="B1569" s="74" t="s">
        <v>3825</v>
      </c>
      <c r="C1569" s="74" t="s">
        <v>3826</v>
      </c>
      <c r="D1569" s="74">
        <v>0</v>
      </c>
      <c r="E1569" s="74">
        <v>8.2642799999999994</v>
      </c>
      <c r="F1569" s="74">
        <v>0</v>
      </c>
      <c r="G1569" s="74">
        <v>0.189</v>
      </c>
      <c r="H1569" s="74">
        <v>0</v>
      </c>
      <c r="I1569" s="74"/>
      <c r="J1569" s="74">
        <v>0</v>
      </c>
      <c r="K1569" s="74">
        <v>7.4593325010369131</v>
      </c>
      <c r="L1569" s="74">
        <v>0</v>
      </c>
      <c r="M1569" s="74">
        <v>0.17059124844462878</v>
      </c>
      <c r="N1569" s="74">
        <v>0</v>
      </c>
    </row>
    <row r="1570" spans="1:14" x14ac:dyDescent="0.25">
      <c r="A1570" t="str">
        <f>VLOOKUP(VALUE(RIGHT(B1570,4)),'Waste Lookups'!$B$1:$C$295,2,FALSE)</f>
        <v>South Plaza (Lower Ground, First, Fourth, Fifth &amp; Sixth Floors)</v>
      </c>
      <c r="B1570" s="74" t="s">
        <v>655</v>
      </c>
      <c r="C1570" s="74" t="s">
        <v>3827</v>
      </c>
      <c r="D1570" s="74">
        <v>0</v>
      </c>
      <c r="E1570" s="74">
        <v>34.593360000000004</v>
      </c>
      <c r="F1570" s="74">
        <v>0</v>
      </c>
      <c r="G1570" s="74">
        <v>11.198519999999998</v>
      </c>
      <c r="H1570" s="74">
        <v>18.844093867087359</v>
      </c>
      <c r="I1570" s="74"/>
      <c r="J1570" s="74">
        <v>0</v>
      </c>
      <c r="K1570" s="74">
        <v>23.856447444412122</v>
      </c>
      <c r="L1570" s="74">
        <v>0</v>
      </c>
      <c r="M1570" s="74">
        <v>7.722779858192383</v>
      </c>
      <c r="N1570" s="74">
        <v>12.995359079827413</v>
      </c>
    </row>
    <row r="1571" spans="1:14" x14ac:dyDescent="0.25">
      <c r="A1571" t="e">
        <f>VLOOKUP(VALUE(RIGHT(B1571,4)),'Waste Lookups'!$B$1:$C$295,2,FALSE)</f>
        <v>#N/A</v>
      </c>
      <c r="B1571" s="74" t="s">
        <v>3828</v>
      </c>
      <c r="C1571" s="74" t="s">
        <v>3829</v>
      </c>
      <c r="D1571" s="74">
        <v>0</v>
      </c>
      <c r="E1571" s="74">
        <v>5.8747800000000003</v>
      </c>
      <c r="F1571" s="74">
        <v>0</v>
      </c>
      <c r="G1571" s="74">
        <v>0.189</v>
      </c>
      <c r="H1571" s="74">
        <v>0</v>
      </c>
      <c r="I1571" s="74"/>
      <c r="J1571" s="74">
        <v>0</v>
      </c>
      <c r="K1571" s="74">
        <v>0.36130095737554108</v>
      </c>
      <c r="L1571" s="74">
        <v>0</v>
      </c>
      <c r="M1571" s="74">
        <v>1.1623563936688229E-2</v>
      </c>
      <c r="N1571" s="74">
        <v>0</v>
      </c>
    </row>
    <row r="1572" spans="1:14" x14ac:dyDescent="0.25">
      <c r="A1572" t="e">
        <f>VLOOKUP(VALUE(RIGHT(B1572,4)),'Waste Lookups'!$B$1:$C$295,2,FALSE)</f>
        <v>#N/A</v>
      </c>
      <c r="B1572" s="74" t="s">
        <v>3830</v>
      </c>
      <c r="C1572" s="74" t="s">
        <v>3831</v>
      </c>
      <c r="D1572" s="74">
        <v>0</v>
      </c>
      <c r="E1572" s="74">
        <v>7.2233400000000012</v>
      </c>
      <c r="F1572" s="74">
        <v>0</v>
      </c>
      <c r="G1572" s="74">
        <v>0.51300000000000001</v>
      </c>
      <c r="H1572" s="74">
        <v>0</v>
      </c>
      <c r="I1572" s="74"/>
      <c r="J1572" s="74">
        <v>0</v>
      </c>
      <c r="K1572" s="74">
        <v>1.9354434892813803</v>
      </c>
      <c r="L1572" s="74">
        <v>0</v>
      </c>
      <c r="M1572" s="74">
        <v>0.13745476607792906</v>
      </c>
      <c r="N1572" s="74">
        <v>0</v>
      </c>
    </row>
    <row r="1573" spans="1:14" x14ac:dyDescent="0.25">
      <c r="A1573" t="e">
        <f>VLOOKUP(VALUE(RIGHT(B1573,4)),'Waste Lookups'!$B$1:$C$295,2,FALSE)</f>
        <v>#N/A</v>
      </c>
      <c r="B1573" s="74" t="s">
        <v>3832</v>
      </c>
      <c r="C1573" s="74" t="s">
        <v>3833</v>
      </c>
      <c r="D1573" s="74">
        <v>0</v>
      </c>
      <c r="E1573" s="74">
        <v>1.9583999999999999</v>
      </c>
      <c r="F1573" s="74">
        <v>0</v>
      </c>
      <c r="G1573" s="74">
        <v>0</v>
      </c>
      <c r="H1573" s="74">
        <v>0.61952277657266819</v>
      </c>
      <c r="I1573" s="74"/>
      <c r="J1573" s="74">
        <v>0</v>
      </c>
      <c r="K1573" s="74">
        <v>2.8504690710382512</v>
      </c>
      <c r="L1573" s="74">
        <v>0</v>
      </c>
      <c r="M1573" s="74">
        <v>0</v>
      </c>
      <c r="N1573" s="74">
        <v>0.90172105464875996</v>
      </c>
    </row>
    <row r="1574" spans="1:14" x14ac:dyDescent="0.25">
      <c r="A1574" t="e">
        <f>VLOOKUP(VALUE(RIGHT(B1574,4)),'Waste Lookups'!$B$1:$C$295,2,FALSE)</f>
        <v>#N/A</v>
      </c>
      <c r="B1574" s="74" t="s">
        <v>3834</v>
      </c>
      <c r="C1574" s="74" t="s">
        <v>3835</v>
      </c>
      <c r="D1574" s="74">
        <v>0</v>
      </c>
      <c r="E1574" s="74">
        <v>7.0462800000000003</v>
      </c>
      <c r="F1574" s="74">
        <v>0</v>
      </c>
      <c r="G1574" s="74">
        <v>0.17820000000000003</v>
      </c>
      <c r="H1574" s="74">
        <v>0</v>
      </c>
      <c r="I1574" s="74"/>
      <c r="J1574" s="74">
        <v>0</v>
      </c>
      <c r="K1574" s="74">
        <v>6.9123480867205958</v>
      </c>
      <c r="L1574" s="74">
        <v>0</v>
      </c>
      <c r="M1574" s="74">
        <v>0.17481286991910769</v>
      </c>
      <c r="N1574" s="74">
        <v>0</v>
      </c>
    </row>
    <row r="1575" spans="1:14" x14ac:dyDescent="0.25">
      <c r="A1575" t="e">
        <f>VLOOKUP(VALUE(RIGHT(B1575,4)),'Waste Lookups'!$B$1:$C$295,2,FALSE)</f>
        <v>#N/A</v>
      </c>
      <c r="B1575" s="74" t="s">
        <v>3836</v>
      </c>
      <c r="C1575" s="74" t="s">
        <v>3837</v>
      </c>
      <c r="D1575" s="74">
        <v>0</v>
      </c>
      <c r="E1575" s="74">
        <v>10.868639999999999</v>
      </c>
      <c r="F1575" s="74">
        <v>0</v>
      </c>
      <c r="G1575" s="74">
        <v>1.1663999999999999</v>
      </c>
      <c r="H1575" s="74">
        <v>0</v>
      </c>
      <c r="I1575" s="74"/>
      <c r="J1575" s="74">
        <v>0</v>
      </c>
      <c r="K1575" s="74">
        <v>29.016393699872228</v>
      </c>
      <c r="L1575" s="74">
        <v>0</v>
      </c>
      <c r="M1575" s="74">
        <v>3.1139794501916493</v>
      </c>
      <c r="N1575" s="74">
        <v>0</v>
      </c>
    </row>
    <row r="1576" spans="1:14" x14ac:dyDescent="0.25">
      <c r="A1576" t="e">
        <f>VLOOKUP(VALUE(RIGHT(B1576,4)),'Waste Lookups'!$B$1:$C$295,2,FALSE)</f>
        <v>#N/A</v>
      </c>
      <c r="B1576" s="74" t="s">
        <v>3838</v>
      </c>
      <c r="C1576" s="74" t="s">
        <v>3839</v>
      </c>
      <c r="D1576" s="74">
        <v>0</v>
      </c>
      <c r="E1576" s="74">
        <v>3.8199599999999991</v>
      </c>
      <c r="F1576" s="74">
        <v>0</v>
      </c>
      <c r="G1576" s="74">
        <v>0</v>
      </c>
      <c r="H1576" s="74">
        <v>0</v>
      </c>
      <c r="I1576" s="74"/>
      <c r="J1576" s="74">
        <v>0</v>
      </c>
      <c r="K1576" s="74">
        <v>6.9151499999999997</v>
      </c>
      <c r="L1576" s="74">
        <v>0</v>
      </c>
      <c r="M1576" s="74">
        <v>0</v>
      </c>
      <c r="N1576" s="74">
        <v>0</v>
      </c>
    </row>
    <row r="1577" spans="1:14" x14ac:dyDescent="0.25">
      <c r="A1577" t="e">
        <f>VLOOKUP(VALUE(RIGHT(B1577,4)),'Waste Lookups'!$B$1:$C$295,2,FALSE)</f>
        <v>#N/A</v>
      </c>
      <c r="B1577" s="74" t="s">
        <v>3840</v>
      </c>
      <c r="C1577" s="74" t="s">
        <v>3841</v>
      </c>
      <c r="D1577" s="74">
        <v>0</v>
      </c>
      <c r="E1577" s="74">
        <v>10.371359999999999</v>
      </c>
      <c r="F1577" s="74">
        <v>0</v>
      </c>
      <c r="G1577" s="74">
        <v>0</v>
      </c>
      <c r="H1577" s="74">
        <v>0</v>
      </c>
      <c r="I1577" s="74"/>
      <c r="J1577" s="74">
        <v>0</v>
      </c>
      <c r="K1577" s="74">
        <v>20.668119999999998</v>
      </c>
      <c r="L1577" s="74">
        <v>0</v>
      </c>
      <c r="M1577" s="74">
        <v>0</v>
      </c>
      <c r="N1577" s="74">
        <v>0</v>
      </c>
    </row>
    <row r="1578" spans="1:14" x14ac:dyDescent="0.25">
      <c r="A1578" t="e">
        <f>VLOOKUP(VALUE(RIGHT(B1578,4)),'Waste Lookups'!$B$1:$C$295,2,FALSE)</f>
        <v>#N/A</v>
      </c>
      <c r="B1578" s="74" t="s">
        <v>3842</v>
      </c>
      <c r="C1578" s="74" t="s">
        <v>3843</v>
      </c>
      <c r="D1578" s="74">
        <v>0</v>
      </c>
      <c r="E1578" s="74">
        <v>1.6633199999999999</v>
      </c>
      <c r="F1578" s="74">
        <v>0</v>
      </c>
      <c r="G1578" s="74">
        <v>0</v>
      </c>
      <c r="H1578" s="74">
        <v>0</v>
      </c>
      <c r="I1578" s="74"/>
      <c r="J1578" s="74">
        <v>0</v>
      </c>
      <c r="K1578" s="74">
        <v>5.4012750000000009</v>
      </c>
      <c r="L1578" s="74">
        <v>0</v>
      </c>
      <c r="M1578" s="74">
        <v>0</v>
      </c>
      <c r="N1578" s="74">
        <v>0</v>
      </c>
    </row>
    <row r="1579" spans="1:14" x14ac:dyDescent="0.25">
      <c r="A1579" t="e">
        <f>VLOOKUP(VALUE(RIGHT(B1579,4)),'Waste Lookups'!$B$1:$C$295,2,FALSE)</f>
        <v>#N/A</v>
      </c>
      <c r="B1579" s="74" t="s">
        <v>3844</v>
      </c>
      <c r="C1579" s="74" t="s">
        <v>3845</v>
      </c>
      <c r="D1579" s="74">
        <v>0</v>
      </c>
      <c r="E1579" s="74">
        <v>3.5999999999999996</v>
      </c>
      <c r="F1579" s="74">
        <v>0</v>
      </c>
      <c r="G1579" s="74">
        <v>0</v>
      </c>
      <c r="H1579" s="74">
        <v>0</v>
      </c>
      <c r="I1579" s="74"/>
      <c r="J1579" s="74">
        <v>0</v>
      </c>
      <c r="K1579" s="74">
        <v>5.9393950000000002</v>
      </c>
      <c r="L1579" s="74">
        <v>0</v>
      </c>
      <c r="M1579" s="74">
        <v>0</v>
      </c>
      <c r="N1579" s="74">
        <v>0</v>
      </c>
    </row>
    <row r="1580" spans="1:14" x14ac:dyDescent="0.25">
      <c r="A1580" t="e">
        <f>VLOOKUP(VALUE(RIGHT(B1580,4)),'Waste Lookups'!$B$1:$C$295,2,FALSE)</f>
        <v>#N/A</v>
      </c>
      <c r="B1580" s="74" t="s">
        <v>3846</v>
      </c>
      <c r="C1580" s="74" t="s">
        <v>3847</v>
      </c>
      <c r="D1580" s="74">
        <v>0</v>
      </c>
      <c r="E1580" s="74">
        <v>0.88571999999999984</v>
      </c>
      <c r="F1580" s="74">
        <v>0</v>
      </c>
      <c r="G1580" s="74">
        <v>0</v>
      </c>
      <c r="H1580" s="74">
        <v>0</v>
      </c>
      <c r="I1580" s="74"/>
      <c r="J1580" s="74">
        <v>0</v>
      </c>
      <c r="K1580" s="74">
        <v>0.98939499999999991</v>
      </c>
      <c r="L1580" s="74">
        <v>0</v>
      </c>
      <c r="M1580" s="74">
        <v>0</v>
      </c>
      <c r="N1580" s="74">
        <v>0</v>
      </c>
    </row>
    <row r="1581" spans="1:14" x14ac:dyDescent="0.25">
      <c r="A1581" t="e">
        <f>VLOOKUP(VALUE(RIGHT(B1581,4)),'Waste Lookups'!$B$1:$C$295,2,FALSE)</f>
        <v>#N/A</v>
      </c>
      <c r="B1581" s="74" t="s">
        <v>3848</v>
      </c>
      <c r="C1581" s="74" t="s">
        <v>3849</v>
      </c>
      <c r="D1581" s="74">
        <v>0</v>
      </c>
      <c r="E1581" s="74">
        <v>3.8741399999999997</v>
      </c>
      <c r="F1581" s="74">
        <v>0</v>
      </c>
      <c r="G1581" s="74">
        <v>0</v>
      </c>
      <c r="H1581" s="74">
        <v>0</v>
      </c>
      <c r="I1581" s="74"/>
      <c r="J1581" s="74">
        <v>0</v>
      </c>
      <c r="K1581" s="74">
        <v>9.7050800000000006</v>
      </c>
      <c r="L1581" s="74">
        <v>0</v>
      </c>
      <c r="M1581" s="74">
        <v>0</v>
      </c>
      <c r="N1581" s="74">
        <v>0</v>
      </c>
    </row>
    <row r="1582" spans="1:14" x14ac:dyDescent="0.25">
      <c r="A1582" t="e">
        <f>VLOOKUP(VALUE(RIGHT(B1582,4)),'Waste Lookups'!$B$1:$C$295,2,FALSE)</f>
        <v>#N/A</v>
      </c>
      <c r="B1582" s="74" t="s">
        <v>3850</v>
      </c>
      <c r="C1582" s="74" t="s">
        <v>3851</v>
      </c>
      <c r="D1582" s="74">
        <v>0</v>
      </c>
      <c r="E1582" s="74">
        <v>31.259100000000004</v>
      </c>
      <c r="F1582" s="74">
        <v>0</v>
      </c>
      <c r="G1582" s="74">
        <v>0</v>
      </c>
      <c r="H1582" s="74">
        <v>0</v>
      </c>
      <c r="I1582" s="74"/>
      <c r="J1582" s="74">
        <v>0</v>
      </c>
      <c r="K1582" s="74">
        <v>9.9</v>
      </c>
      <c r="L1582" s="74">
        <v>0</v>
      </c>
      <c r="M1582" s="74">
        <v>0</v>
      </c>
      <c r="N1582" s="74">
        <v>0</v>
      </c>
    </row>
    <row r="1583" spans="1:14" x14ac:dyDescent="0.25">
      <c r="A1583" t="e">
        <f>VLOOKUP(VALUE(RIGHT(B1583,4)),'Waste Lookups'!$B$1:$C$295,2,FALSE)</f>
        <v>#N/A</v>
      </c>
      <c r="B1583" s="74" t="s">
        <v>3852</v>
      </c>
      <c r="C1583" s="74" t="s">
        <v>3853</v>
      </c>
      <c r="D1583" s="74">
        <v>0</v>
      </c>
      <c r="E1583" s="74">
        <v>5.3776200000000003</v>
      </c>
      <c r="F1583" s="74">
        <v>0</v>
      </c>
      <c r="G1583" s="74">
        <v>0</v>
      </c>
      <c r="H1583" s="74">
        <v>0</v>
      </c>
      <c r="I1583" s="74"/>
      <c r="J1583" s="74">
        <v>0</v>
      </c>
      <c r="K1583" s="74">
        <v>0</v>
      </c>
      <c r="L1583" s="74">
        <v>0</v>
      </c>
      <c r="M1583" s="74">
        <v>0</v>
      </c>
      <c r="N1583" s="74">
        <v>0</v>
      </c>
    </row>
    <row r="1584" spans="1:14" x14ac:dyDescent="0.25">
      <c r="A1584" t="e">
        <f>VLOOKUP(VALUE(RIGHT(B1584,4)),'Waste Lookups'!$B$1:$C$295,2,FALSE)</f>
        <v>#N/A</v>
      </c>
      <c r="B1584" s="74" t="s">
        <v>3854</v>
      </c>
      <c r="C1584" s="74" t="s">
        <v>3855</v>
      </c>
      <c r="D1584" s="74">
        <v>0</v>
      </c>
      <c r="E1584" s="74">
        <v>0</v>
      </c>
      <c r="F1584" s="74">
        <v>0</v>
      </c>
      <c r="G1584" s="74">
        <v>0</v>
      </c>
      <c r="H1584" s="74">
        <v>0</v>
      </c>
      <c r="I1584" s="74"/>
      <c r="J1584" s="74">
        <v>0</v>
      </c>
      <c r="K1584" s="74">
        <v>0</v>
      </c>
      <c r="L1584" s="74">
        <v>0</v>
      </c>
      <c r="M1584" s="74">
        <v>0</v>
      </c>
      <c r="N1584" s="74">
        <v>0</v>
      </c>
    </row>
    <row r="1585" spans="1:14" x14ac:dyDescent="0.25">
      <c r="A1585" t="str">
        <f>VLOOKUP(VALUE(RIGHT(B1585,4)),'Waste Lookups'!$B$1:$C$295,2,FALSE)</f>
        <v>Wynford House</v>
      </c>
      <c r="B1585" s="74" t="s">
        <v>656</v>
      </c>
      <c r="C1585" s="74" t="s">
        <v>3856</v>
      </c>
      <c r="D1585" s="74">
        <v>0</v>
      </c>
      <c r="E1585" s="74">
        <v>6.6064199999999991</v>
      </c>
      <c r="F1585" s="74">
        <v>0</v>
      </c>
      <c r="G1585" s="74">
        <v>0</v>
      </c>
      <c r="H1585" s="74">
        <v>0</v>
      </c>
      <c r="I1585" s="74"/>
      <c r="J1585" s="74">
        <v>0</v>
      </c>
      <c r="K1585" s="74">
        <v>1.4594250000000002</v>
      </c>
      <c r="L1585" s="74">
        <v>0</v>
      </c>
      <c r="M1585" s="74">
        <v>0</v>
      </c>
      <c r="N1585" s="74">
        <v>0</v>
      </c>
    </row>
    <row r="1586" spans="1:14" x14ac:dyDescent="0.25">
      <c r="A1586" t="e">
        <f>VLOOKUP(VALUE(RIGHT(B1586,4)),'Waste Lookups'!$B$1:$C$295,2,FALSE)</f>
        <v>#N/A</v>
      </c>
      <c r="B1586" s="74" t="s">
        <v>3857</v>
      </c>
      <c r="C1586" s="74" t="s">
        <v>3858</v>
      </c>
      <c r="D1586" s="74">
        <v>0</v>
      </c>
      <c r="E1586" s="74">
        <v>0.92027999999999999</v>
      </c>
      <c r="F1586" s="74">
        <v>0</v>
      </c>
      <c r="G1586" s="74">
        <v>8.4482099999999996</v>
      </c>
      <c r="H1586" s="74">
        <v>0</v>
      </c>
      <c r="I1586" s="74"/>
      <c r="J1586" s="74">
        <v>0</v>
      </c>
      <c r="K1586" s="74">
        <v>1.124042521724798</v>
      </c>
      <c r="L1586" s="74">
        <v>0</v>
      </c>
      <c r="M1586" s="74">
        <v>10.318758717412804</v>
      </c>
      <c r="N1586" s="74">
        <v>0</v>
      </c>
    </row>
    <row r="1587" spans="1:14" x14ac:dyDescent="0.25">
      <c r="A1587" t="e">
        <f>VLOOKUP(VALUE(RIGHT(B1587,4)),'Waste Lookups'!$B$1:$C$295,2,FALSE)</f>
        <v>#N/A</v>
      </c>
      <c r="B1587" s="74" t="s">
        <v>3859</v>
      </c>
      <c r="C1587" s="74" t="s">
        <v>3860</v>
      </c>
      <c r="D1587" s="74">
        <v>0</v>
      </c>
      <c r="E1587" s="74">
        <v>14.199660000000002</v>
      </c>
      <c r="F1587" s="74">
        <v>0</v>
      </c>
      <c r="G1587" s="74">
        <v>0.189</v>
      </c>
      <c r="H1587" s="74">
        <v>0</v>
      </c>
      <c r="I1587" s="74"/>
      <c r="J1587" s="74">
        <v>0</v>
      </c>
      <c r="K1587" s="74">
        <v>11.005632053350423</v>
      </c>
      <c r="L1587" s="74">
        <v>0</v>
      </c>
      <c r="M1587" s="74">
        <v>0.14648691997436766</v>
      </c>
      <c r="N1587" s="74">
        <v>0</v>
      </c>
    </row>
    <row r="1588" spans="1:14" x14ac:dyDescent="0.25">
      <c r="A1588" t="e">
        <f>VLOOKUP(VALUE(RIGHT(B1588,4)),'Waste Lookups'!$B$1:$C$295,2,FALSE)</f>
        <v>#N/A</v>
      </c>
      <c r="B1588" s="74" t="s">
        <v>3861</v>
      </c>
      <c r="C1588" s="74" t="s">
        <v>3862</v>
      </c>
      <c r="D1588" s="74">
        <v>0</v>
      </c>
      <c r="E1588" s="74">
        <v>4.2</v>
      </c>
      <c r="F1588" s="74">
        <v>0</v>
      </c>
      <c r="G1588" s="74">
        <v>0</v>
      </c>
      <c r="H1588" s="74">
        <v>0</v>
      </c>
      <c r="I1588" s="74"/>
      <c r="J1588" s="74">
        <v>0</v>
      </c>
      <c r="K1588" s="74">
        <v>9.9</v>
      </c>
      <c r="L1588" s="74">
        <v>0</v>
      </c>
      <c r="M1588" s="74">
        <v>0</v>
      </c>
      <c r="N1588" s="74">
        <v>0</v>
      </c>
    </row>
    <row r="1589" spans="1:14" x14ac:dyDescent="0.25">
      <c r="A1589" t="e">
        <f>VLOOKUP(VALUE(RIGHT(B1589,4)),'Waste Lookups'!$B$1:$C$295,2,FALSE)</f>
        <v>#N/A</v>
      </c>
      <c r="B1589" s="74" t="s">
        <v>3863</v>
      </c>
      <c r="C1589" s="74" t="s">
        <v>3864</v>
      </c>
      <c r="D1589" s="74">
        <v>0</v>
      </c>
      <c r="E1589" s="74">
        <v>8.7014999999999993</v>
      </c>
      <c r="F1589" s="74">
        <v>0</v>
      </c>
      <c r="G1589" s="74">
        <v>0.45900000000000002</v>
      </c>
      <c r="H1589" s="74">
        <v>0</v>
      </c>
      <c r="I1589" s="74"/>
      <c r="J1589" s="74">
        <v>0</v>
      </c>
      <c r="K1589" s="74">
        <v>6.256347104079933</v>
      </c>
      <c r="L1589" s="74">
        <v>0</v>
      </c>
      <c r="M1589" s="74">
        <v>0.3300193438800999</v>
      </c>
      <c r="N1589" s="74">
        <v>0</v>
      </c>
    </row>
    <row r="1590" spans="1:14" x14ac:dyDescent="0.25">
      <c r="A1590" t="e">
        <f>VLOOKUP(VALUE(RIGHT(B1590,4)),'Waste Lookups'!$B$1:$C$295,2,FALSE)</f>
        <v>#N/A</v>
      </c>
      <c r="B1590" s="74" t="s">
        <v>3865</v>
      </c>
      <c r="C1590" s="74" t="s">
        <v>3866</v>
      </c>
      <c r="D1590" s="74">
        <v>0</v>
      </c>
      <c r="E1590" s="74">
        <v>8.2224000000000004</v>
      </c>
      <c r="F1590" s="74">
        <v>0</v>
      </c>
      <c r="G1590" s="74">
        <v>0.24840000000000001</v>
      </c>
      <c r="H1590" s="74">
        <v>0</v>
      </c>
      <c r="I1590" s="74"/>
      <c r="J1590" s="74">
        <v>0</v>
      </c>
      <c r="K1590" s="74">
        <v>4.0037735793991418</v>
      </c>
      <c r="L1590" s="74">
        <v>0</v>
      </c>
      <c r="M1590" s="74">
        <v>0.12095463090128755</v>
      </c>
      <c r="N1590" s="74">
        <v>0</v>
      </c>
    </row>
    <row r="1591" spans="1:14" x14ac:dyDescent="0.25">
      <c r="A1591" t="e">
        <f>VLOOKUP(VALUE(RIGHT(B1591,4)),'Waste Lookups'!$B$1:$C$295,2,FALSE)</f>
        <v>#N/A</v>
      </c>
      <c r="B1591" s="74" t="s">
        <v>3867</v>
      </c>
      <c r="C1591" s="74" t="s">
        <v>3868</v>
      </c>
      <c r="D1591" s="74">
        <v>0</v>
      </c>
      <c r="E1591" s="74">
        <v>0.90695999999999999</v>
      </c>
      <c r="F1591" s="74">
        <v>0</v>
      </c>
      <c r="G1591" s="74">
        <v>0</v>
      </c>
      <c r="H1591" s="74">
        <v>0</v>
      </c>
      <c r="I1591" s="74"/>
      <c r="J1591" s="74">
        <v>0</v>
      </c>
      <c r="K1591" s="74">
        <v>4.2520500000000006</v>
      </c>
      <c r="L1591" s="74">
        <v>0</v>
      </c>
      <c r="M1591" s="74">
        <v>0</v>
      </c>
      <c r="N1591" s="74">
        <v>0</v>
      </c>
    </row>
    <row r="1592" spans="1:14" x14ac:dyDescent="0.25">
      <c r="A1592" t="e">
        <f>VLOOKUP(VALUE(RIGHT(B1592,4)),'Waste Lookups'!$B$1:$C$295,2,FALSE)</f>
        <v>#N/A</v>
      </c>
      <c r="B1592" s="74" t="s">
        <v>3869</v>
      </c>
      <c r="C1592" s="74" t="s">
        <v>3870</v>
      </c>
      <c r="D1592" s="74">
        <v>0</v>
      </c>
      <c r="E1592" s="74">
        <v>0</v>
      </c>
      <c r="F1592" s="74">
        <v>0</v>
      </c>
      <c r="G1592" s="74">
        <v>0</v>
      </c>
      <c r="H1592" s="74">
        <v>0</v>
      </c>
      <c r="I1592" s="74"/>
      <c r="J1592" s="74">
        <v>0</v>
      </c>
      <c r="K1592" s="74">
        <v>0</v>
      </c>
      <c r="L1592" s="74">
        <v>0</v>
      </c>
      <c r="M1592" s="74">
        <v>0</v>
      </c>
      <c r="N1592" s="74">
        <v>0</v>
      </c>
    </row>
    <row r="1593" spans="1:14" x14ac:dyDescent="0.25">
      <c r="A1593" t="e">
        <f>VLOOKUP(VALUE(RIGHT(B1593,4)),'Waste Lookups'!$B$1:$C$295,2,FALSE)</f>
        <v>#N/A</v>
      </c>
      <c r="B1593" s="74" t="s">
        <v>3871</v>
      </c>
      <c r="C1593" s="74" t="s">
        <v>3872</v>
      </c>
      <c r="D1593" s="74">
        <v>0</v>
      </c>
      <c r="E1593" s="74">
        <v>10.495800000000001</v>
      </c>
      <c r="F1593" s="74">
        <v>0</v>
      </c>
      <c r="G1593" s="74">
        <v>0.16739999999999999</v>
      </c>
      <c r="H1593" s="74">
        <v>0</v>
      </c>
      <c r="I1593" s="74"/>
      <c r="J1593" s="74">
        <v>0</v>
      </c>
      <c r="K1593" s="74">
        <v>5.5199572628542333</v>
      </c>
      <c r="L1593" s="74">
        <v>0</v>
      </c>
      <c r="M1593" s="74">
        <v>8.8039105718649244E-2</v>
      </c>
      <c r="N1593" s="74">
        <v>0</v>
      </c>
    </row>
    <row r="1594" spans="1:14" x14ac:dyDescent="0.25">
      <c r="A1594" t="e">
        <f>VLOOKUP(VALUE(RIGHT(B1594,4)),'Waste Lookups'!$B$1:$C$295,2,FALSE)</f>
        <v>#N/A</v>
      </c>
      <c r="B1594" s="74" t="s">
        <v>3873</v>
      </c>
      <c r="C1594" s="74" t="s">
        <v>3874</v>
      </c>
      <c r="D1594" s="74">
        <v>0</v>
      </c>
      <c r="E1594" s="74">
        <v>17.733539999999998</v>
      </c>
      <c r="F1594" s="74">
        <v>0</v>
      </c>
      <c r="G1594" s="74">
        <v>0.9396000000000001</v>
      </c>
      <c r="H1594" s="74">
        <v>0.98593571287714443</v>
      </c>
      <c r="I1594" s="74"/>
      <c r="J1594" s="74">
        <v>0</v>
      </c>
      <c r="K1594" s="74">
        <v>8.4080364048684348</v>
      </c>
      <c r="L1594" s="74">
        <v>0</v>
      </c>
      <c r="M1594" s="74">
        <v>0.445494300969484</v>
      </c>
      <c r="N1594" s="74">
        <v>0.46746353896238124</v>
      </c>
    </row>
    <row r="1595" spans="1:14" x14ac:dyDescent="0.25">
      <c r="A1595" t="str">
        <f>VLOOKUP(VALUE(RIGHT(B1595,4)),'Waste Lookups'!$B$1:$C$295,2,FALSE)</f>
        <v>Crown Yealm House</v>
      </c>
      <c r="B1595" s="74" t="s">
        <v>777</v>
      </c>
      <c r="C1595" s="74" t="s">
        <v>3875</v>
      </c>
      <c r="D1595" s="74">
        <v>0</v>
      </c>
      <c r="E1595" s="74">
        <v>7.4488799999999991</v>
      </c>
      <c r="F1595" s="74">
        <v>0</v>
      </c>
      <c r="G1595" s="74">
        <v>0</v>
      </c>
      <c r="H1595" s="74">
        <v>0</v>
      </c>
      <c r="I1595" s="74"/>
      <c r="J1595" s="74">
        <v>0</v>
      </c>
      <c r="K1595" s="74">
        <v>6.8281400000000003</v>
      </c>
      <c r="L1595" s="74">
        <v>0</v>
      </c>
      <c r="M1595" s="74">
        <v>0</v>
      </c>
      <c r="N1595" s="74">
        <v>0</v>
      </c>
    </row>
    <row r="1596" spans="1:14" x14ac:dyDescent="0.25">
      <c r="A1596" t="str">
        <f>VLOOKUP(VALUE(RIGHT(B1596,4)),'Waste Lookups'!$B$1:$C$295,2,FALSE)</f>
        <v>Pomona House (Unit 3)</v>
      </c>
      <c r="B1596" s="74" t="s">
        <v>776</v>
      </c>
      <c r="C1596" s="74" t="s">
        <v>3876</v>
      </c>
      <c r="D1596" s="74">
        <v>0</v>
      </c>
      <c r="E1596" s="74">
        <v>0</v>
      </c>
      <c r="F1596" s="74">
        <v>0</v>
      </c>
      <c r="G1596" s="74">
        <v>0</v>
      </c>
      <c r="H1596" s="74">
        <v>0</v>
      </c>
      <c r="I1596" s="74"/>
      <c r="J1596" s="74">
        <v>0</v>
      </c>
      <c r="K1596" s="74">
        <v>0</v>
      </c>
      <c r="L1596" s="74">
        <v>0</v>
      </c>
      <c r="M1596" s="74">
        <v>0</v>
      </c>
      <c r="N1596" s="74">
        <v>0</v>
      </c>
    </row>
    <row r="1597" spans="1:14" x14ac:dyDescent="0.25">
      <c r="A1597" t="e">
        <f>VLOOKUP(VALUE(RIGHT(B1597,4)),'Waste Lookups'!$B$1:$C$295,2,FALSE)</f>
        <v>#N/A</v>
      </c>
      <c r="B1597" s="74" t="s">
        <v>3877</v>
      </c>
      <c r="C1597" s="74" t="s">
        <v>3878</v>
      </c>
      <c r="D1597" s="74">
        <v>20.074212121212121</v>
      </c>
      <c r="E1597" s="74">
        <v>0</v>
      </c>
      <c r="F1597" s="74">
        <v>0</v>
      </c>
      <c r="G1597" s="74">
        <v>0</v>
      </c>
      <c r="H1597" s="74">
        <v>0</v>
      </c>
      <c r="I1597" s="74"/>
      <c r="J1597" s="74">
        <v>6.9258611111111117</v>
      </c>
      <c r="K1597" s="74">
        <v>0</v>
      </c>
      <c r="L1597" s="74">
        <v>0</v>
      </c>
      <c r="M1597" s="74">
        <v>0</v>
      </c>
      <c r="N1597" s="74">
        <v>0</v>
      </c>
    </row>
    <row r="1598" spans="1:14" x14ac:dyDescent="0.25">
      <c r="A1598" t="e">
        <f>VLOOKUP(VALUE(RIGHT(B1598,4)),'Waste Lookups'!$B$1:$C$295,2,FALSE)</f>
        <v>#N/A</v>
      </c>
      <c r="B1598" s="74" t="s">
        <v>3879</v>
      </c>
      <c r="C1598" s="74" t="s">
        <v>3880</v>
      </c>
      <c r="D1598" s="74">
        <v>0</v>
      </c>
      <c r="E1598" s="74">
        <v>0.30384</v>
      </c>
      <c r="F1598" s="74">
        <v>0</v>
      </c>
      <c r="G1598" s="74">
        <v>0</v>
      </c>
      <c r="H1598" s="74">
        <v>0</v>
      </c>
      <c r="I1598" s="74"/>
      <c r="J1598" s="74">
        <v>0</v>
      </c>
      <c r="K1598" s="74">
        <v>0</v>
      </c>
      <c r="L1598" s="74">
        <v>0</v>
      </c>
      <c r="M1598" s="74">
        <v>0</v>
      </c>
      <c r="N1598" s="74">
        <v>0</v>
      </c>
    </row>
    <row r="1599" spans="1:14" x14ac:dyDescent="0.25">
      <c r="A1599" t="e">
        <f>VLOOKUP(VALUE(RIGHT(B1599,4)),'Waste Lookups'!$B$1:$C$295,2,FALSE)</f>
        <v>#N/A</v>
      </c>
      <c r="B1599" s="74" t="s">
        <v>3881</v>
      </c>
      <c r="C1599" s="74" t="s">
        <v>3882</v>
      </c>
      <c r="D1599" s="74">
        <v>0</v>
      </c>
      <c r="E1599" s="74">
        <v>0</v>
      </c>
      <c r="F1599" s="74">
        <v>0</v>
      </c>
      <c r="G1599" s="74">
        <v>0</v>
      </c>
      <c r="H1599" s="74">
        <v>0</v>
      </c>
      <c r="I1599" s="74"/>
      <c r="J1599" s="74">
        <v>0</v>
      </c>
      <c r="K1599" s="74">
        <v>0</v>
      </c>
      <c r="L1599" s="74">
        <v>0</v>
      </c>
      <c r="M1599" s="74">
        <v>0</v>
      </c>
      <c r="N1599" s="74">
        <v>0</v>
      </c>
    </row>
    <row r="1600" spans="1:14" x14ac:dyDescent="0.25">
      <c r="A1600" t="e">
        <f>VLOOKUP(VALUE(RIGHT(B1600,4)),'Waste Lookups'!$B$1:$C$295,2,FALSE)</f>
        <v>#N/A</v>
      </c>
      <c r="B1600" s="74" t="s">
        <v>3883</v>
      </c>
      <c r="C1600" s="74" t="s">
        <v>3884</v>
      </c>
      <c r="D1600" s="74">
        <v>0</v>
      </c>
      <c r="E1600" s="74">
        <v>0.87119999999999986</v>
      </c>
      <c r="F1600" s="74">
        <v>0</v>
      </c>
      <c r="G1600" s="74">
        <v>0</v>
      </c>
      <c r="H1600" s="74">
        <v>0</v>
      </c>
      <c r="I1600" s="74"/>
      <c r="J1600" s="74">
        <v>0</v>
      </c>
      <c r="K1600" s="74">
        <v>0.72599999999999998</v>
      </c>
      <c r="L1600" s="74">
        <v>0</v>
      </c>
      <c r="M1600" s="74">
        <v>0</v>
      </c>
      <c r="N1600" s="74">
        <v>0</v>
      </c>
    </row>
    <row r="1601" spans="1:14" x14ac:dyDescent="0.25">
      <c r="A1601" t="e">
        <f>VLOOKUP(VALUE(RIGHT(B1601,4)),'Waste Lookups'!$B$1:$C$295,2,FALSE)</f>
        <v>#N/A</v>
      </c>
      <c r="B1601" s="74" t="s">
        <v>3885</v>
      </c>
      <c r="C1601" s="74" t="s">
        <v>3886</v>
      </c>
      <c r="D1601" s="74">
        <v>0.4212727272727273</v>
      </c>
      <c r="E1601" s="74">
        <v>0</v>
      </c>
      <c r="F1601" s="74">
        <v>0</v>
      </c>
      <c r="G1601" s="74">
        <v>0</v>
      </c>
      <c r="H1601" s="74">
        <v>0</v>
      </c>
      <c r="I1601" s="74"/>
      <c r="J1601" s="74">
        <v>8.0166666666666675</v>
      </c>
      <c r="K1601" s="74">
        <v>0</v>
      </c>
      <c r="L1601" s="74">
        <v>0</v>
      </c>
      <c r="M1601" s="74">
        <v>0</v>
      </c>
      <c r="N1601" s="74">
        <v>0</v>
      </c>
    </row>
    <row r="1602" spans="1:14" x14ac:dyDescent="0.25">
      <c r="A1602" t="e">
        <f>VLOOKUP(VALUE(RIGHT(B1602,4)),'Waste Lookups'!$B$1:$C$295,2,FALSE)</f>
        <v>#N/A</v>
      </c>
      <c r="B1602" s="74" t="s">
        <v>3887</v>
      </c>
      <c r="C1602" s="74" t="s">
        <v>3888</v>
      </c>
      <c r="D1602" s="74">
        <v>0</v>
      </c>
      <c r="E1602" s="74">
        <v>0.58079999999999998</v>
      </c>
      <c r="F1602" s="74">
        <v>0</v>
      </c>
      <c r="G1602" s="74">
        <v>0</v>
      </c>
      <c r="H1602" s="74">
        <v>0</v>
      </c>
      <c r="I1602" s="74"/>
      <c r="J1602" s="74">
        <v>0</v>
      </c>
      <c r="K1602" s="74">
        <v>0.121</v>
      </c>
      <c r="L1602" s="74">
        <v>0</v>
      </c>
      <c r="M1602" s="74">
        <v>0</v>
      </c>
      <c r="N1602" s="74">
        <v>0</v>
      </c>
    </row>
    <row r="1603" spans="1:14" x14ac:dyDescent="0.25">
      <c r="A1603" t="e">
        <f>VLOOKUP(VALUE(RIGHT(B1603,4)),'Waste Lookups'!$B$1:$C$295,2,FALSE)</f>
        <v>#N/A</v>
      </c>
      <c r="B1603" s="74" t="s">
        <v>3889</v>
      </c>
      <c r="C1603" s="74" t="s">
        <v>3890</v>
      </c>
      <c r="D1603" s="74">
        <v>7.9072727272727272</v>
      </c>
      <c r="E1603" s="74">
        <v>0</v>
      </c>
      <c r="F1603" s="74">
        <v>0</v>
      </c>
      <c r="G1603" s="74">
        <v>0</v>
      </c>
      <c r="H1603" s="74">
        <v>0</v>
      </c>
      <c r="I1603" s="74"/>
      <c r="J1603" s="74">
        <v>1.5966666666666665</v>
      </c>
      <c r="K1603" s="74">
        <v>0</v>
      </c>
      <c r="L1603" s="74">
        <v>0</v>
      </c>
      <c r="M1603" s="74">
        <v>0</v>
      </c>
      <c r="N1603" s="74">
        <v>0</v>
      </c>
    </row>
    <row r="1604" spans="1:14" x14ac:dyDescent="0.25">
      <c r="A1604" t="e">
        <f>VLOOKUP(VALUE(RIGHT(B1604,4)),'Waste Lookups'!$B$1:$C$295,2,FALSE)</f>
        <v>#N/A</v>
      </c>
      <c r="B1604" s="74" t="s">
        <v>3891</v>
      </c>
      <c r="C1604" s="74" t="s">
        <v>3892</v>
      </c>
      <c r="D1604" s="74">
        <v>20.15130303030303</v>
      </c>
      <c r="E1604" s="74">
        <v>0</v>
      </c>
      <c r="F1604" s="74">
        <v>0</v>
      </c>
      <c r="G1604" s="74">
        <v>0</v>
      </c>
      <c r="H1604" s="74">
        <v>0</v>
      </c>
      <c r="I1604" s="74"/>
      <c r="J1604" s="74">
        <v>2.4500000000000002</v>
      </c>
      <c r="K1604" s="74">
        <v>0</v>
      </c>
      <c r="L1604" s="74">
        <v>0</v>
      </c>
      <c r="M1604" s="74">
        <v>0</v>
      </c>
      <c r="N1604" s="74">
        <v>0</v>
      </c>
    </row>
    <row r="1605" spans="1:14" x14ac:dyDescent="0.25">
      <c r="A1605" t="e">
        <f>VLOOKUP(VALUE(RIGHT(B1605,4)),'Waste Lookups'!$B$1:$C$295,2,FALSE)</f>
        <v>#N/A</v>
      </c>
      <c r="B1605" s="74" t="s">
        <v>3893</v>
      </c>
      <c r="C1605" s="74" t="s">
        <v>3894</v>
      </c>
      <c r="D1605" s="74">
        <v>0</v>
      </c>
      <c r="E1605" s="74">
        <v>0</v>
      </c>
      <c r="F1605" s="74">
        <v>0</v>
      </c>
      <c r="G1605" s="74">
        <v>0</v>
      </c>
      <c r="H1605" s="74">
        <v>0</v>
      </c>
      <c r="I1605" s="74"/>
      <c r="J1605" s="74">
        <v>0</v>
      </c>
      <c r="K1605" s="74">
        <v>0</v>
      </c>
      <c r="L1605" s="74">
        <v>0</v>
      </c>
      <c r="M1605" s="74">
        <v>0</v>
      </c>
      <c r="N1605" s="74">
        <v>0</v>
      </c>
    </row>
    <row r="1606" spans="1:14" x14ac:dyDescent="0.25">
      <c r="A1606" t="e">
        <f>VLOOKUP(VALUE(RIGHT(B1606,4)),'Waste Lookups'!$B$1:$C$295,2,FALSE)</f>
        <v>#N/A</v>
      </c>
      <c r="B1606" s="74" t="s">
        <v>3895</v>
      </c>
      <c r="C1606" s="74" t="s">
        <v>3896</v>
      </c>
      <c r="D1606" s="74">
        <v>0</v>
      </c>
      <c r="E1606" s="74">
        <v>0</v>
      </c>
      <c r="F1606" s="74">
        <v>0</v>
      </c>
      <c r="G1606" s="74">
        <v>0</v>
      </c>
      <c r="H1606" s="74">
        <v>0</v>
      </c>
      <c r="I1606" s="74"/>
      <c r="J1606" s="74">
        <v>0</v>
      </c>
      <c r="K1606" s="74">
        <v>0</v>
      </c>
      <c r="L1606" s="74">
        <v>0</v>
      </c>
      <c r="M1606" s="74">
        <v>0</v>
      </c>
      <c r="N1606" s="74">
        <v>0</v>
      </c>
    </row>
    <row r="1607" spans="1:14" x14ac:dyDescent="0.25">
      <c r="A1607" t="e">
        <f>VLOOKUP(VALUE(RIGHT(B1607,4)),'Waste Lookups'!$B$1:$C$295,2,FALSE)</f>
        <v>#N/A</v>
      </c>
      <c r="B1607" s="74" t="s">
        <v>3897</v>
      </c>
      <c r="C1607" s="74" t="s">
        <v>3898</v>
      </c>
      <c r="D1607" s="74">
        <v>0</v>
      </c>
      <c r="E1607" s="74">
        <v>0.30498000000000003</v>
      </c>
      <c r="F1607" s="74">
        <v>0</v>
      </c>
      <c r="G1607" s="74">
        <v>2.7930599999999997</v>
      </c>
      <c r="H1607" s="74">
        <v>0</v>
      </c>
      <c r="I1607" s="74"/>
      <c r="J1607" s="74">
        <v>0</v>
      </c>
      <c r="K1607" s="74">
        <v>0.310937399285655</v>
      </c>
      <c r="L1607" s="74">
        <v>0</v>
      </c>
      <c r="M1607" s="74">
        <v>2.8476189010715176</v>
      </c>
      <c r="N1607" s="74">
        <v>0</v>
      </c>
    </row>
    <row r="1608" spans="1:14" x14ac:dyDescent="0.25">
      <c r="A1608" t="e">
        <f>VLOOKUP(VALUE(RIGHT(B1608,4)),'Waste Lookups'!$B$1:$C$295,2,FALSE)</f>
        <v>#N/A</v>
      </c>
      <c r="B1608" s="74" t="s">
        <v>3899</v>
      </c>
      <c r="C1608" s="74" t="s">
        <v>3900</v>
      </c>
      <c r="D1608" s="74">
        <v>0</v>
      </c>
      <c r="E1608" s="74">
        <v>1.3549199999999999</v>
      </c>
      <c r="F1608" s="74">
        <v>0</v>
      </c>
      <c r="G1608" s="74">
        <v>0</v>
      </c>
      <c r="H1608" s="74">
        <v>0</v>
      </c>
      <c r="I1608" s="74"/>
      <c r="J1608" s="74">
        <v>0</v>
      </c>
      <c r="K1608" s="74">
        <v>0</v>
      </c>
      <c r="L1608" s="74">
        <v>0</v>
      </c>
      <c r="M1608" s="74">
        <v>0</v>
      </c>
      <c r="N1608" s="74">
        <v>0</v>
      </c>
    </row>
    <row r="1609" spans="1:14" x14ac:dyDescent="0.25">
      <c r="A1609" t="e">
        <f>VLOOKUP(VALUE(RIGHT(B1609,4)),'Waste Lookups'!$B$1:$C$295,2,FALSE)</f>
        <v>#N/A</v>
      </c>
      <c r="B1609" s="74" t="s">
        <v>3901</v>
      </c>
      <c r="C1609" s="74" t="s">
        <v>3902</v>
      </c>
      <c r="D1609" s="74">
        <v>2.379515151515152</v>
      </c>
      <c r="E1609" s="74">
        <v>2.4528600000000003</v>
      </c>
      <c r="F1609" s="74">
        <v>0</v>
      </c>
      <c r="G1609" s="74">
        <v>8.8788600000000013</v>
      </c>
      <c r="H1609" s="74">
        <v>0</v>
      </c>
      <c r="I1609" s="74"/>
      <c r="J1609" s="74">
        <v>2.0998586391756362</v>
      </c>
      <c r="K1609" s="74">
        <v>2.1645835112286123</v>
      </c>
      <c r="L1609" s="74">
        <v>0</v>
      </c>
      <c r="M1609" s="74">
        <v>7.835357074805442</v>
      </c>
      <c r="N1609" s="74">
        <v>0</v>
      </c>
    </row>
    <row r="1610" spans="1:14" x14ac:dyDescent="0.25">
      <c r="A1610" t="e">
        <f>VLOOKUP(VALUE(RIGHT(B1610,4)),'Waste Lookups'!$B$1:$C$295,2,FALSE)</f>
        <v>#N/A</v>
      </c>
      <c r="B1610" s="74" t="s">
        <v>3903</v>
      </c>
      <c r="C1610" s="74" t="s">
        <v>3904</v>
      </c>
      <c r="D1610" s="74">
        <v>0</v>
      </c>
      <c r="E1610" s="74">
        <v>1.29864</v>
      </c>
      <c r="F1610" s="74">
        <v>0</v>
      </c>
      <c r="G1610" s="74">
        <v>2.4452999999999996</v>
      </c>
      <c r="H1610" s="74">
        <v>0</v>
      </c>
      <c r="I1610" s="74"/>
      <c r="J1610" s="74">
        <v>0</v>
      </c>
      <c r="K1610" s="74">
        <v>1.1028224124226658</v>
      </c>
      <c r="L1610" s="74">
        <v>0</v>
      </c>
      <c r="M1610" s="74">
        <v>2.0765813813660015</v>
      </c>
      <c r="N1610" s="74">
        <v>0</v>
      </c>
    </row>
    <row r="1611" spans="1:14" x14ac:dyDescent="0.25">
      <c r="A1611" t="str">
        <f>VLOOKUP(VALUE(RIGHT(B1611,4)),'Waste Lookups'!$B$1:$C$295,2,FALSE)</f>
        <v>Bramblefield Clinic</v>
      </c>
      <c r="B1611" s="74" t="s">
        <v>771</v>
      </c>
      <c r="C1611" s="74" t="s">
        <v>3905</v>
      </c>
      <c r="D1611" s="74">
        <v>0</v>
      </c>
      <c r="E1611" s="74">
        <v>4.4301000000000004</v>
      </c>
      <c r="F1611" s="74">
        <v>0</v>
      </c>
      <c r="G1611" s="74">
        <v>5.07897</v>
      </c>
      <c r="H1611" s="74">
        <v>0</v>
      </c>
      <c r="I1611" s="74"/>
      <c r="J1611" s="74">
        <v>0</v>
      </c>
      <c r="K1611" s="74">
        <v>1.8502166349372062</v>
      </c>
      <c r="L1611" s="74">
        <v>0</v>
      </c>
      <c r="M1611" s="74">
        <v>2.1212150475941902</v>
      </c>
      <c r="N1611" s="74">
        <v>0</v>
      </c>
    </row>
    <row r="1612" spans="1:14" x14ac:dyDescent="0.25">
      <c r="A1612" t="e">
        <f>VLOOKUP(VALUE(RIGHT(B1612,4)),'Waste Lookups'!$B$1:$C$295,2,FALSE)</f>
        <v>#N/A</v>
      </c>
      <c r="B1612" s="74" t="s">
        <v>3906</v>
      </c>
      <c r="C1612" s="74" t="s">
        <v>3907</v>
      </c>
      <c r="D1612" s="74">
        <v>0.98327272727272741</v>
      </c>
      <c r="E1612" s="74">
        <v>1.29864</v>
      </c>
      <c r="F1612" s="74">
        <v>8.3000000000000004E-2</v>
      </c>
      <c r="G1612" s="74">
        <v>5.36958</v>
      </c>
      <c r="H1612" s="74">
        <v>0</v>
      </c>
      <c r="I1612" s="74"/>
      <c r="J1612" s="74">
        <v>1.6983253295469594</v>
      </c>
      <c r="K1612" s="74">
        <v>2.2430330312122315</v>
      </c>
      <c r="L1612" s="74">
        <v>0.14335900756993097</v>
      </c>
      <c r="M1612" s="74">
        <v>9.2744296369560253</v>
      </c>
      <c r="N1612" s="74">
        <v>0</v>
      </c>
    </row>
    <row r="1613" spans="1:14" x14ac:dyDescent="0.25">
      <c r="A1613" t="str">
        <f>VLOOKUP(VALUE(RIGHT(B1613,4)),'Waste Lookups'!$B$1:$C$295,2,FALSE)</f>
        <v>Brook House</v>
      </c>
      <c r="B1613" s="74" t="s">
        <v>702</v>
      </c>
      <c r="C1613" s="74" t="s">
        <v>3908</v>
      </c>
      <c r="D1613" s="74">
        <v>0</v>
      </c>
      <c r="E1613" s="74">
        <v>3.0299999999999994</v>
      </c>
      <c r="F1613" s="74">
        <v>0</v>
      </c>
      <c r="G1613" s="74">
        <v>14.90382</v>
      </c>
      <c r="H1613" s="74">
        <v>1.7347521198974563</v>
      </c>
      <c r="I1613" s="74"/>
      <c r="J1613" s="74">
        <v>0</v>
      </c>
      <c r="K1613" s="74">
        <v>0.6482537298821317</v>
      </c>
      <c r="L1613" s="74">
        <v>0</v>
      </c>
      <c r="M1613" s="74">
        <v>3.1885996384461754</v>
      </c>
      <c r="N1613" s="74">
        <v>0.37114175978365044</v>
      </c>
    </row>
    <row r="1614" spans="1:14" x14ac:dyDescent="0.25">
      <c r="A1614" t="e">
        <f>VLOOKUP(VALUE(RIGHT(B1614,4)),'Waste Lookups'!$B$1:$C$295,2,FALSE)</f>
        <v>#N/A</v>
      </c>
      <c r="B1614" s="74" t="s">
        <v>3909</v>
      </c>
      <c r="C1614" s="74" t="s">
        <v>3910</v>
      </c>
      <c r="D1614" s="74">
        <v>0</v>
      </c>
      <c r="E1614" s="74">
        <v>2.4528600000000003</v>
      </c>
      <c r="F1614" s="74">
        <v>0</v>
      </c>
      <c r="G1614" s="74">
        <v>4.4289000000000005</v>
      </c>
      <c r="H1614" s="74">
        <v>0</v>
      </c>
      <c r="I1614" s="74"/>
      <c r="J1614" s="74">
        <v>0</v>
      </c>
      <c r="K1614" s="74">
        <v>2.1128853253377136</v>
      </c>
      <c r="L1614" s="74">
        <v>0</v>
      </c>
      <c r="M1614" s="74">
        <v>3.8150395119934286</v>
      </c>
      <c r="N1614" s="74">
        <v>0</v>
      </c>
    </row>
    <row r="1615" spans="1:14" x14ac:dyDescent="0.25">
      <c r="A1615" t="e">
        <f>VLOOKUP(VALUE(RIGHT(B1615,4)),'Waste Lookups'!$B$1:$C$295,2,FALSE)</f>
        <v>#N/A</v>
      </c>
      <c r="B1615" s="74" t="s">
        <v>3911</v>
      </c>
      <c r="C1615" s="74" t="s">
        <v>3912</v>
      </c>
      <c r="D1615" s="74">
        <v>1.0813030303030302</v>
      </c>
      <c r="E1615" s="74">
        <v>2.5971600000000001</v>
      </c>
      <c r="F1615" s="74">
        <v>8.3000000000000004E-2</v>
      </c>
      <c r="G1615" s="74">
        <v>9.7314299999999978</v>
      </c>
      <c r="H1615" s="74">
        <v>0</v>
      </c>
      <c r="I1615" s="74"/>
      <c r="J1615" s="74">
        <v>1.9271820356717788</v>
      </c>
      <c r="K1615" s="74">
        <v>4.6288597696453637</v>
      </c>
      <c r="L1615" s="74">
        <v>0.14792903051046724</v>
      </c>
      <c r="M1615" s="74">
        <v>17.344108498559955</v>
      </c>
      <c r="N1615" s="74">
        <v>0</v>
      </c>
    </row>
    <row r="1616" spans="1:14" x14ac:dyDescent="0.25">
      <c r="A1616" t="e">
        <f>VLOOKUP(VALUE(RIGHT(B1616,4)),'Waste Lookups'!$B$1:$C$295,2,FALSE)</f>
        <v>#N/A</v>
      </c>
      <c r="B1616" s="74" t="s">
        <v>3913</v>
      </c>
      <c r="C1616" s="74" t="s">
        <v>3914</v>
      </c>
      <c r="D1616" s="74">
        <v>0.95984848484848484</v>
      </c>
      <c r="E1616" s="74">
        <v>1.29864</v>
      </c>
      <c r="F1616" s="74">
        <v>0</v>
      </c>
      <c r="G1616" s="74">
        <v>2.3897699999999995</v>
      </c>
      <c r="H1616" s="74">
        <v>0</v>
      </c>
      <c r="I1616" s="74"/>
      <c r="J1616" s="74">
        <v>1.0965877174312233</v>
      </c>
      <c r="K1616" s="74">
        <v>1.483643195612981</v>
      </c>
      <c r="L1616" s="74">
        <v>0</v>
      </c>
      <c r="M1616" s="74">
        <v>2.7302146858097949</v>
      </c>
      <c r="N1616" s="74">
        <v>0</v>
      </c>
    </row>
    <row r="1617" spans="1:14" x14ac:dyDescent="0.25">
      <c r="A1617" t="e">
        <f>VLOOKUP(VALUE(RIGHT(B1617,4)),'Waste Lookups'!$B$1:$C$295,2,FALSE)</f>
        <v>#N/A</v>
      </c>
      <c r="B1617" s="74" t="s">
        <v>3915</v>
      </c>
      <c r="C1617" s="74" t="s">
        <v>3916</v>
      </c>
      <c r="D1617" s="74">
        <v>1.8217272727272724</v>
      </c>
      <c r="E1617" s="74">
        <v>3.6793800000000001</v>
      </c>
      <c r="F1617" s="74">
        <v>0.43863636363636366</v>
      </c>
      <c r="G1617" s="74">
        <v>9.3059999999999992</v>
      </c>
      <c r="H1617" s="74">
        <v>0</v>
      </c>
      <c r="I1617" s="74"/>
      <c r="J1617" s="74">
        <v>2.937588429431178</v>
      </c>
      <c r="K1617" s="74">
        <v>5.9331077034924604</v>
      </c>
      <c r="L1617" s="74">
        <v>0.70731394640478251</v>
      </c>
      <c r="M1617" s="74">
        <v>15.006196774647039</v>
      </c>
      <c r="N1617" s="74">
        <v>0</v>
      </c>
    </row>
    <row r="1618" spans="1:14" x14ac:dyDescent="0.25">
      <c r="A1618" t="e">
        <f>VLOOKUP(VALUE(RIGHT(B1618,4)),'Waste Lookups'!$B$1:$C$295,2,FALSE)</f>
        <v>#N/A</v>
      </c>
      <c r="B1618" s="74" t="s">
        <v>3917</v>
      </c>
      <c r="C1618" s="74" t="s">
        <v>3918</v>
      </c>
      <c r="D1618" s="74">
        <v>0.20393939393939398</v>
      </c>
      <c r="E1618" s="74">
        <v>1.29864</v>
      </c>
      <c r="F1618" s="74">
        <v>0.63927272727272721</v>
      </c>
      <c r="G1618" s="74">
        <v>1.2387599999999999</v>
      </c>
      <c r="H1618" s="74">
        <v>0</v>
      </c>
      <c r="I1618" s="74"/>
      <c r="J1618" s="74">
        <v>0.27185763035409855</v>
      </c>
      <c r="K1618" s="74">
        <v>1.7311279898574345</v>
      </c>
      <c r="L1618" s="74">
        <v>0.8521706641827731</v>
      </c>
      <c r="M1618" s="74">
        <v>1.6513060653574476</v>
      </c>
      <c r="N1618" s="74">
        <v>0</v>
      </c>
    </row>
    <row r="1619" spans="1:14" x14ac:dyDescent="0.25">
      <c r="A1619" t="e">
        <f>VLOOKUP(VALUE(RIGHT(B1619,4)),'Waste Lookups'!$B$1:$C$295,2,FALSE)</f>
        <v>#N/A</v>
      </c>
      <c r="B1619" s="74" t="s">
        <v>3919</v>
      </c>
      <c r="C1619" s="74" t="s">
        <v>3920</v>
      </c>
      <c r="D1619" s="74">
        <v>0</v>
      </c>
      <c r="E1619" s="74">
        <v>1.29864</v>
      </c>
      <c r="F1619" s="74">
        <v>0</v>
      </c>
      <c r="G1619" s="74">
        <v>2.3118300000000001</v>
      </c>
      <c r="H1619" s="74">
        <v>0</v>
      </c>
      <c r="I1619" s="74"/>
      <c r="J1619" s="74">
        <v>0</v>
      </c>
      <c r="K1619" s="74">
        <v>1.2109180308888465</v>
      </c>
      <c r="L1619" s="74">
        <v>0</v>
      </c>
      <c r="M1619" s="74">
        <v>2.1556679536667298</v>
      </c>
      <c r="N1619" s="74">
        <v>0</v>
      </c>
    </row>
    <row r="1620" spans="1:14" x14ac:dyDescent="0.25">
      <c r="A1620" t="e">
        <f>VLOOKUP(VALUE(RIGHT(B1620,4)),'Waste Lookups'!$B$1:$C$295,2,FALSE)</f>
        <v>#N/A</v>
      </c>
      <c r="B1620" s="74" t="s">
        <v>3921</v>
      </c>
      <c r="C1620" s="74" t="s">
        <v>3922</v>
      </c>
      <c r="D1620" s="74">
        <v>2.8097575757575761</v>
      </c>
      <c r="E1620" s="74">
        <v>2.74146</v>
      </c>
      <c r="F1620" s="74">
        <v>0.16232727272727274</v>
      </c>
      <c r="G1620" s="74">
        <v>12.05973</v>
      </c>
      <c r="H1620" s="74">
        <v>0</v>
      </c>
      <c r="I1620" s="74"/>
      <c r="J1620" s="74">
        <v>4.8384646054449343</v>
      </c>
      <c r="K1620" s="74">
        <v>4.720854671480569</v>
      </c>
      <c r="L1620" s="74">
        <v>0.2795311490093767</v>
      </c>
      <c r="M1620" s="74">
        <v>20.767121427011283</v>
      </c>
      <c r="N1620" s="74">
        <v>0</v>
      </c>
    </row>
    <row r="1621" spans="1:14" x14ac:dyDescent="0.25">
      <c r="A1621" t="e">
        <f>VLOOKUP(VALUE(RIGHT(B1621,4)),'Waste Lookups'!$B$1:$C$295,2,FALSE)</f>
        <v>#N/A</v>
      </c>
      <c r="B1621" s="74" t="s">
        <v>3923</v>
      </c>
      <c r="C1621" s="74" t="s">
        <v>3924</v>
      </c>
      <c r="D1621" s="74">
        <v>0</v>
      </c>
      <c r="E1621" s="74">
        <v>0</v>
      </c>
      <c r="F1621" s="74">
        <v>0</v>
      </c>
      <c r="G1621" s="74">
        <v>3.4628400000000004</v>
      </c>
      <c r="H1621" s="74">
        <v>0</v>
      </c>
      <c r="I1621" s="74"/>
      <c r="J1621" s="74">
        <v>0</v>
      </c>
      <c r="K1621" s="74">
        <v>0</v>
      </c>
      <c r="L1621" s="74">
        <v>0</v>
      </c>
      <c r="M1621" s="74">
        <v>0</v>
      </c>
      <c r="N1621" s="74">
        <v>0</v>
      </c>
    </row>
    <row r="1622" spans="1:14" x14ac:dyDescent="0.25">
      <c r="A1622" t="e">
        <f>VLOOKUP(VALUE(RIGHT(B1622,4)),'Waste Lookups'!$B$1:$C$295,2,FALSE)</f>
        <v>#N/A</v>
      </c>
      <c r="B1622" s="74" t="s">
        <v>3925</v>
      </c>
      <c r="C1622" s="74" t="s">
        <v>3926</v>
      </c>
      <c r="D1622" s="74">
        <v>1.2070606060606059</v>
      </c>
      <c r="E1622" s="74">
        <v>2.5971600000000001</v>
      </c>
      <c r="F1622" s="74">
        <v>0</v>
      </c>
      <c r="G1622" s="74">
        <v>4.9409999999999998</v>
      </c>
      <c r="H1622" s="74">
        <v>0</v>
      </c>
      <c r="I1622" s="74"/>
      <c r="J1622" s="74">
        <v>2.3143170181480652</v>
      </c>
      <c r="K1622" s="74">
        <v>4.9795772943580241</v>
      </c>
      <c r="L1622" s="74">
        <v>0</v>
      </c>
      <c r="M1622" s="74">
        <v>9.473460014563214</v>
      </c>
      <c r="N1622" s="74">
        <v>0</v>
      </c>
    </row>
    <row r="1623" spans="1:14" x14ac:dyDescent="0.25">
      <c r="A1623" t="e">
        <f>VLOOKUP(VALUE(RIGHT(B1623,4)),'Waste Lookups'!$B$1:$C$295,2,FALSE)</f>
        <v>#N/A</v>
      </c>
      <c r="B1623" s="74" t="s">
        <v>3927</v>
      </c>
      <c r="C1623" s="74" t="s">
        <v>3928</v>
      </c>
      <c r="D1623" s="74">
        <v>0.50512121212121208</v>
      </c>
      <c r="E1623" s="74">
        <v>2.5971600000000001</v>
      </c>
      <c r="F1623" s="74">
        <v>0</v>
      </c>
      <c r="G1623" s="74">
        <v>5.1935399999999996</v>
      </c>
      <c r="H1623" s="74">
        <v>0</v>
      </c>
      <c r="I1623" s="74"/>
      <c r="J1623" s="74">
        <v>0.57708763712888911</v>
      </c>
      <c r="K1623" s="74">
        <v>2.967186670604534</v>
      </c>
      <c r="L1623" s="74">
        <v>0</v>
      </c>
      <c r="M1623" s="74">
        <v>5.9334822118203991</v>
      </c>
      <c r="N1623" s="74">
        <v>0</v>
      </c>
    </row>
    <row r="1624" spans="1:14" x14ac:dyDescent="0.25">
      <c r="A1624" t="e">
        <f>VLOOKUP(VALUE(RIGHT(B1624,4)),'Waste Lookups'!$B$1:$C$295,2,FALSE)</f>
        <v>#N/A</v>
      </c>
      <c r="B1624" s="74" t="s">
        <v>3929</v>
      </c>
      <c r="C1624" s="74" t="s">
        <v>3930</v>
      </c>
      <c r="D1624" s="74">
        <v>1.280787878787879</v>
      </c>
      <c r="E1624" s="74">
        <v>1.29864</v>
      </c>
      <c r="F1624" s="74">
        <v>0</v>
      </c>
      <c r="G1624" s="74">
        <v>2.8468799999999996</v>
      </c>
      <c r="H1624" s="74">
        <v>0</v>
      </c>
      <c r="I1624" s="74"/>
      <c r="J1624" s="74">
        <v>1.5331094719250871</v>
      </c>
      <c r="K1624" s="74">
        <v>1.554478549957087</v>
      </c>
      <c r="L1624" s="74">
        <v>0</v>
      </c>
      <c r="M1624" s="74">
        <v>3.4077295434468606</v>
      </c>
      <c r="N1624" s="74">
        <v>0</v>
      </c>
    </row>
    <row r="1625" spans="1:14" x14ac:dyDescent="0.25">
      <c r="A1625" t="str">
        <f>VLOOKUP(VALUE(RIGHT(B1625,4)),'Waste Lookups'!$B$1:$C$295,2,FALSE)</f>
        <v>Inca House</v>
      </c>
      <c r="B1625" s="74" t="s">
        <v>772</v>
      </c>
      <c r="C1625" s="74" t="s">
        <v>3931</v>
      </c>
      <c r="D1625" s="74">
        <v>0</v>
      </c>
      <c r="E1625" s="74">
        <v>0</v>
      </c>
      <c r="F1625" s="74">
        <v>0</v>
      </c>
      <c r="G1625" s="74">
        <v>0.14220000000000002</v>
      </c>
      <c r="H1625" s="74">
        <v>0.32299112601064878</v>
      </c>
      <c r="I1625" s="74"/>
      <c r="J1625" s="74">
        <v>0</v>
      </c>
      <c r="K1625" s="74">
        <v>0</v>
      </c>
      <c r="L1625" s="74">
        <v>0</v>
      </c>
      <c r="M1625" s="74">
        <v>0</v>
      </c>
      <c r="N1625" s="74">
        <v>0</v>
      </c>
    </row>
    <row r="1626" spans="1:14" x14ac:dyDescent="0.25">
      <c r="A1626" t="e">
        <f>VLOOKUP(VALUE(RIGHT(B1626,4)),'Waste Lookups'!$B$1:$C$295,2,FALSE)</f>
        <v>#N/A</v>
      </c>
      <c r="B1626" s="74" t="s">
        <v>3932</v>
      </c>
      <c r="C1626" s="74" t="s">
        <v>3933</v>
      </c>
      <c r="D1626" s="74">
        <v>0.94566666666666677</v>
      </c>
      <c r="E1626" s="74">
        <v>1.29864</v>
      </c>
      <c r="F1626" s="74">
        <v>0</v>
      </c>
      <c r="G1626" s="74">
        <v>4.0040100000000001</v>
      </c>
      <c r="H1626" s="74">
        <v>0</v>
      </c>
      <c r="I1626" s="74"/>
      <c r="J1626" s="74">
        <v>1.0691583886948384</v>
      </c>
      <c r="K1626" s="74">
        <v>1.4682254316827612</v>
      </c>
      <c r="L1626" s="74">
        <v>0</v>
      </c>
      <c r="M1626" s="74">
        <v>4.5268814380521878</v>
      </c>
      <c r="N1626" s="74">
        <v>0</v>
      </c>
    </row>
    <row r="1627" spans="1:14" x14ac:dyDescent="0.25">
      <c r="A1627" t="str">
        <f>VLOOKUP(VALUE(RIGHT(B1627,4)),'Waste Lookups'!$B$1:$C$295,2,FALSE)</f>
        <v>Kent House</v>
      </c>
      <c r="B1627" s="74" t="s">
        <v>703</v>
      </c>
      <c r="C1627" s="74" t="s">
        <v>3934</v>
      </c>
      <c r="D1627" s="74">
        <v>0</v>
      </c>
      <c r="E1627" s="74">
        <v>0</v>
      </c>
      <c r="F1627" s="74">
        <v>0</v>
      </c>
      <c r="G1627" s="74">
        <v>0.95894999999999986</v>
      </c>
      <c r="H1627" s="74">
        <v>1.5672490633011245</v>
      </c>
      <c r="I1627" s="74"/>
      <c r="J1627" s="74">
        <v>0</v>
      </c>
      <c r="K1627" s="74">
        <v>0</v>
      </c>
      <c r="L1627" s="74">
        <v>0</v>
      </c>
      <c r="M1627" s="74">
        <v>0.99469280779234803</v>
      </c>
      <c r="N1627" s="74">
        <v>1.6256649160904353</v>
      </c>
    </row>
    <row r="1628" spans="1:14" x14ac:dyDescent="0.25">
      <c r="A1628" t="e">
        <f>VLOOKUP(VALUE(RIGHT(B1628,4)),'Waste Lookups'!$B$1:$C$295,2,FALSE)</f>
        <v>#N/A</v>
      </c>
      <c r="B1628" s="74" t="s">
        <v>3935</v>
      </c>
      <c r="C1628" s="74" t="s">
        <v>3936</v>
      </c>
      <c r="D1628" s="74">
        <v>0</v>
      </c>
      <c r="E1628" s="74">
        <v>0.72150000000000003</v>
      </c>
      <c r="F1628" s="74">
        <v>0</v>
      </c>
      <c r="G1628" s="74">
        <v>5.1416999999999993</v>
      </c>
      <c r="H1628" s="74">
        <v>0</v>
      </c>
      <c r="I1628" s="74"/>
      <c r="J1628" s="74">
        <v>0</v>
      </c>
      <c r="K1628" s="74">
        <v>0.32470542983153794</v>
      </c>
      <c r="L1628" s="74">
        <v>0</v>
      </c>
      <c r="M1628" s="74">
        <v>2.3139818552526932</v>
      </c>
      <c r="N1628" s="74">
        <v>0</v>
      </c>
    </row>
    <row r="1629" spans="1:14" x14ac:dyDescent="0.25">
      <c r="A1629" t="e">
        <f>VLOOKUP(VALUE(RIGHT(B1629,4)),'Waste Lookups'!$B$1:$C$295,2,FALSE)</f>
        <v>#N/A</v>
      </c>
      <c r="B1629" s="74" t="s">
        <v>3937</v>
      </c>
      <c r="C1629" s="74" t="s">
        <v>3938</v>
      </c>
      <c r="D1629" s="74">
        <v>0.97615151515151521</v>
      </c>
      <c r="E1629" s="74">
        <v>0</v>
      </c>
      <c r="F1629" s="74">
        <v>0</v>
      </c>
      <c r="G1629" s="74">
        <v>0.49760999999999994</v>
      </c>
      <c r="H1629" s="74">
        <v>0</v>
      </c>
      <c r="I1629" s="74"/>
      <c r="J1629" s="74">
        <v>2.4138791701258251</v>
      </c>
      <c r="K1629" s="74">
        <v>0</v>
      </c>
      <c r="L1629" s="74">
        <v>0</v>
      </c>
      <c r="M1629" s="74">
        <v>1.2305163647262993</v>
      </c>
      <c r="N1629" s="74">
        <v>0</v>
      </c>
    </row>
    <row r="1630" spans="1:14" x14ac:dyDescent="0.25">
      <c r="A1630" t="e">
        <f>VLOOKUP(VALUE(RIGHT(B1630,4)),'Waste Lookups'!$B$1:$C$295,2,FALSE)</f>
        <v>#N/A</v>
      </c>
      <c r="B1630" s="74" t="s">
        <v>3939</v>
      </c>
      <c r="C1630" s="74" t="s">
        <v>3940</v>
      </c>
      <c r="D1630" s="74">
        <v>1.1799393939393941</v>
      </c>
      <c r="E1630" s="74">
        <v>0.96419999999999983</v>
      </c>
      <c r="F1630" s="74">
        <v>0</v>
      </c>
      <c r="G1630" s="74">
        <v>2.6406000000000001</v>
      </c>
      <c r="H1630" s="74">
        <v>0</v>
      </c>
      <c r="I1630" s="74"/>
      <c r="J1630" s="74">
        <v>1.2753824572011192</v>
      </c>
      <c r="K1630" s="74">
        <v>1.042192312206573</v>
      </c>
      <c r="L1630" s="74">
        <v>0</v>
      </c>
      <c r="M1630" s="74">
        <v>2.8541931338028177</v>
      </c>
      <c r="N1630" s="74">
        <v>0</v>
      </c>
    </row>
    <row r="1631" spans="1:14" x14ac:dyDescent="0.25">
      <c r="A1631" t="e">
        <f>VLOOKUP(VALUE(RIGHT(B1631,4)),'Waste Lookups'!$B$1:$C$295,2,FALSE)</f>
        <v>#N/A</v>
      </c>
      <c r="B1631" s="74" t="s">
        <v>3941</v>
      </c>
      <c r="C1631" s="74" t="s">
        <v>3942</v>
      </c>
      <c r="D1631" s="74">
        <v>1.0983636363636362</v>
      </c>
      <c r="E1631" s="74">
        <v>2.2220399999999998</v>
      </c>
      <c r="F1631" s="74">
        <v>0</v>
      </c>
      <c r="G1631" s="74">
        <v>3.6862199999999996</v>
      </c>
      <c r="H1631" s="74">
        <v>0</v>
      </c>
      <c r="I1631" s="74"/>
      <c r="J1631" s="74">
        <v>1.9250560263076502</v>
      </c>
      <c r="K1631" s="74">
        <v>3.8944766114602838</v>
      </c>
      <c r="L1631" s="74">
        <v>0</v>
      </c>
      <c r="M1631" s="74">
        <v>6.4606836846758515</v>
      </c>
      <c r="N1631" s="74">
        <v>0</v>
      </c>
    </row>
    <row r="1632" spans="1:14" x14ac:dyDescent="0.25">
      <c r="A1632" t="e">
        <f>VLOOKUP(VALUE(RIGHT(B1632,4)),'Waste Lookups'!$B$1:$C$295,2,FALSE)</f>
        <v>#N/A</v>
      </c>
      <c r="B1632" s="74" t="s">
        <v>3943</v>
      </c>
      <c r="C1632" s="74" t="s">
        <v>3944</v>
      </c>
      <c r="D1632" s="74">
        <v>0</v>
      </c>
      <c r="E1632" s="74">
        <v>0</v>
      </c>
      <c r="F1632" s="74">
        <v>0</v>
      </c>
      <c r="G1632" s="74">
        <v>0.28665000000000002</v>
      </c>
      <c r="H1632" s="74">
        <v>0</v>
      </c>
      <c r="I1632" s="74"/>
      <c r="J1632" s="74">
        <v>0</v>
      </c>
      <c r="K1632" s="74">
        <v>0</v>
      </c>
      <c r="L1632" s="74">
        <v>0</v>
      </c>
      <c r="M1632" s="74">
        <v>3.3981749999999997</v>
      </c>
      <c r="N1632" s="74">
        <v>0</v>
      </c>
    </row>
    <row r="1633" spans="1:14" x14ac:dyDescent="0.25">
      <c r="A1633" t="e">
        <f>VLOOKUP(VALUE(RIGHT(B1633,4)),'Waste Lookups'!$B$1:$C$295,2,FALSE)</f>
        <v>#N/A</v>
      </c>
      <c r="B1633" s="74" t="s">
        <v>3945</v>
      </c>
      <c r="C1633" s="74" t="s">
        <v>3946</v>
      </c>
      <c r="D1633" s="74">
        <v>5.4190606060606061</v>
      </c>
      <c r="E1633" s="74">
        <v>11.09478</v>
      </c>
      <c r="F1633" s="74">
        <v>0.9775454545454545</v>
      </c>
      <c r="G1633" s="74">
        <v>67.267889999999994</v>
      </c>
      <c r="H1633" s="74">
        <v>0.23923959771248271</v>
      </c>
      <c r="I1633" s="74"/>
      <c r="J1633" s="74">
        <v>4.2087716801641228</v>
      </c>
      <c r="K1633" s="74">
        <v>8.6168801672798772</v>
      </c>
      <c r="L1633" s="74">
        <v>0.75922118689035012</v>
      </c>
      <c r="M1633" s="74">
        <v>52.244329967404873</v>
      </c>
      <c r="N1633" s="74">
        <v>0.18580800563478575</v>
      </c>
    </row>
    <row r="1634" spans="1:14" x14ac:dyDescent="0.25">
      <c r="A1634" t="e">
        <f>VLOOKUP(VALUE(RIGHT(B1634,4)),'Waste Lookups'!$B$1:$C$295,2,FALSE)</f>
        <v>#N/A</v>
      </c>
      <c r="B1634" s="74" t="s">
        <v>3947</v>
      </c>
      <c r="C1634" s="74" t="s">
        <v>3948</v>
      </c>
      <c r="D1634" s="74">
        <v>1.0196060606060606</v>
      </c>
      <c r="E1634" s="74">
        <v>1.29864</v>
      </c>
      <c r="F1634" s="74">
        <v>3.9363636363636365E-2</v>
      </c>
      <c r="G1634" s="74">
        <v>3.4537499999999999</v>
      </c>
      <c r="H1634" s="74">
        <v>0</v>
      </c>
      <c r="I1634" s="74"/>
      <c r="J1634" s="74">
        <v>1.7439811012789879</v>
      </c>
      <c r="K1634" s="74">
        <v>2.2212535849568509</v>
      </c>
      <c r="L1634" s="74">
        <v>6.7329374106499987E-2</v>
      </c>
      <c r="M1634" s="74">
        <v>5.907452849938954</v>
      </c>
      <c r="N1634" s="74">
        <v>0</v>
      </c>
    </row>
    <row r="1635" spans="1:14" x14ac:dyDescent="0.25">
      <c r="A1635" t="e">
        <f>VLOOKUP(VALUE(RIGHT(B1635,4)),'Waste Lookups'!$B$1:$C$295,2,FALSE)</f>
        <v>#N/A</v>
      </c>
      <c r="B1635" s="74" t="s">
        <v>3949</v>
      </c>
      <c r="C1635" s="74" t="s">
        <v>3950</v>
      </c>
      <c r="D1635" s="74">
        <v>3.4851515151515149</v>
      </c>
      <c r="E1635" s="74">
        <v>14.281619999999998</v>
      </c>
      <c r="F1635" s="74">
        <v>1.0865454545454547</v>
      </c>
      <c r="G1635" s="74">
        <v>36.90972</v>
      </c>
      <c r="H1635" s="74">
        <v>0</v>
      </c>
      <c r="I1635" s="74"/>
      <c r="J1635" s="74">
        <v>3.7933572739259085</v>
      </c>
      <c r="K1635" s="74">
        <v>15.544600249062771</v>
      </c>
      <c r="L1635" s="74">
        <v>1.182632974644704</v>
      </c>
      <c r="M1635" s="74">
        <v>40.173792798354611</v>
      </c>
      <c r="N1635" s="74">
        <v>0</v>
      </c>
    </row>
    <row r="1636" spans="1:14" x14ac:dyDescent="0.25">
      <c r="A1636" t="e">
        <f>VLOOKUP(VALUE(RIGHT(B1636,4)),'Waste Lookups'!$B$1:$C$295,2,FALSE)</f>
        <v>#N/A</v>
      </c>
      <c r="B1636" s="74" t="s">
        <v>3951</v>
      </c>
      <c r="C1636" s="74" t="s">
        <v>3952</v>
      </c>
      <c r="D1636" s="74">
        <v>2.419757575757576</v>
      </c>
      <c r="E1636" s="74">
        <v>11.65452</v>
      </c>
      <c r="F1636" s="74">
        <v>0.90981818181818186</v>
      </c>
      <c r="G1636" s="74">
        <v>60.195779999999992</v>
      </c>
      <c r="H1636" s="74">
        <v>0</v>
      </c>
      <c r="I1636" s="74"/>
      <c r="J1636" s="74">
        <v>2.122788106884983</v>
      </c>
      <c r="K1636" s="74">
        <v>10.224196297725223</v>
      </c>
      <c r="L1636" s="74">
        <v>0.79815897060956165</v>
      </c>
      <c r="M1636" s="74">
        <v>52.808135471446448</v>
      </c>
      <c r="N1636" s="74">
        <v>0</v>
      </c>
    </row>
    <row r="1637" spans="1:14" x14ac:dyDescent="0.25">
      <c r="A1637" t="e">
        <f>VLOOKUP(VALUE(RIGHT(B1637,4)),'Waste Lookups'!$B$1:$C$295,2,FALSE)</f>
        <v>#N/A</v>
      </c>
      <c r="B1637" s="74" t="s">
        <v>3953</v>
      </c>
      <c r="C1637" s="74" t="s">
        <v>3954</v>
      </c>
      <c r="D1637" s="74">
        <v>0.3186969696969697</v>
      </c>
      <c r="E1637" s="74">
        <v>2.5971600000000001</v>
      </c>
      <c r="F1637" s="74">
        <v>0</v>
      </c>
      <c r="G1637" s="74">
        <v>5.8618800000000002</v>
      </c>
      <c r="H1637" s="74">
        <v>0</v>
      </c>
      <c r="I1637" s="74"/>
      <c r="J1637" s="74">
        <v>1.271098307432164</v>
      </c>
      <c r="K1637" s="74">
        <v>10.358572543910538</v>
      </c>
      <c r="L1637" s="74">
        <v>0</v>
      </c>
      <c r="M1637" s="74">
        <v>23.379656711060665</v>
      </c>
      <c r="N1637" s="74">
        <v>0</v>
      </c>
    </row>
    <row r="1638" spans="1:14" x14ac:dyDescent="0.25">
      <c r="A1638" t="e">
        <f>VLOOKUP(VALUE(RIGHT(B1638,4)),'Waste Lookups'!$B$1:$C$295,2,FALSE)</f>
        <v>#N/A</v>
      </c>
      <c r="B1638" s="74" t="s">
        <v>3955</v>
      </c>
      <c r="C1638" s="74" t="s">
        <v>3956</v>
      </c>
      <c r="D1638" s="74">
        <v>0</v>
      </c>
      <c r="E1638" s="74">
        <v>0</v>
      </c>
      <c r="F1638" s="74">
        <v>0</v>
      </c>
      <c r="G1638" s="74">
        <v>0.40076999999999996</v>
      </c>
      <c r="H1638" s="74">
        <v>0</v>
      </c>
      <c r="I1638" s="74"/>
      <c r="J1638" s="74">
        <v>0</v>
      </c>
      <c r="K1638" s="74">
        <v>0</v>
      </c>
      <c r="L1638" s="74">
        <v>0</v>
      </c>
      <c r="M1638" s="74">
        <v>2.2114124999999998</v>
      </c>
      <c r="N1638" s="74">
        <v>0</v>
      </c>
    </row>
    <row r="1639" spans="1:14" x14ac:dyDescent="0.25">
      <c r="A1639" t="e">
        <f>VLOOKUP(VALUE(RIGHT(B1639,4)),'Waste Lookups'!$B$1:$C$295,2,FALSE)</f>
        <v>#N/A</v>
      </c>
      <c r="B1639" s="74" t="s">
        <v>3957</v>
      </c>
      <c r="C1639" s="74" t="s">
        <v>3958</v>
      </c>
      <c r="D1639" s="74">
        <v>0</v>
      </c>
      <c r="E1639" s="74">
        <v>1.2264600000000001</v>
      </c>
      <c r="F1639" s="74">
        <v>0.31854545454545458</v>
      </c>
      <c r="G1639" s="74">
        <v>6.2356500000000006</v>
      </c>
      <c r="H1639" s="74">
        <v>0</v>
      </c>
      <c r="I1639" s="74"/>
      <c r="J1639" s="74">
        <v>0</v>
      </c>
      <c r="K1639" s="74">
        <v>3.3164400823806952</v>
      </c>
      <c r="L1639" s="74">
        <v>0.86137086697872178</v>
      </c>
      <c r="M1639" s="74">
        <v>16.861666584884286</v>
      </c>
      <c r="N1639" s="74">
        <v>0</v>
      </c>
    </row>
    <row r="1640" spans="1:14" x14ac:dyDescent="0.25">
      <c r="A1640" t="e">
        <f>VLOOKUP(VALUE(RIGHT(B1640,4)),'Waste Lookups'!$B$1:$C$295,2,FALSE)</f>
        <v>#N/A</v>
      </c>
      <c r="B1640" s="74" t="s">
        <v>3959</v>
      </c>
      <c r="C1640" s="74" t="s">
        <v>3960</v>
      </c>
      <c r="D1640" s="74">
        <v>1.3255151515151515</v>
      </c>
      <c r="E1640" s="74">
        <v>1.2265200000000001</v>
      </c>
      <c r="F1640" s="74">
        <v>0</v>
      </c>
      <c r="G1640" s="74">
        <v>2.7063899999999994</v>
      </c>
      <c r="H1640" s="74">
        <v>0</v>
      </c>
      <c r="I1640" s="74"/>
      <c r="J1640" s="74">
        <v>1.901548086455773</v>
      </c>
      <c r="K1640" s="74">
        <v>1.7595323269853056</v>
      </c>
      <c r="L1640" s="74">
        <v>0</v>
      </c>
      <c r="M1640" s="74">
        <v>3.8825136927483945</v>
      </c>
      <c r="N1640" s="74">
        <v>0</v>
      </c>
    </row>
    <row r="1641" spans="1:14" x14ac:dyDescent="0.25">
      <c r="A1641" t="e">
        <f>VLOOKUP(VALUE(RIGHT(B1641,4)),'Waste Lookups'!$B$1:$C$295,2,FALSE)</f>
        <v>#N/A</v>
      </c>
      <c r="B1641" s="74" t="s">
        <v>3961</v>
      </c>
      <c r="C1641" s="74" t="s">
        <v>3962</v>
      </c>
      <c r="D1641" s="74">
        <v>3.2931212121212119</v>
      </c>
      <c r="E1641" s="74">
        <v>9.5605200000000004</v>
      </c>
      <c r="F1641" s="74">
        <v>0</v>
      </c>
      <c r="G1641" s="74">
        <v>19.165680000000002</v>
      </c>
      <c r="H1641" s="74">
        <v>0</v>
      </c>
      <c r="I1641" s="74"/>
      <c r="J1641" s="74">
        <v>3.7189854623890799</v>
      </c>
      <c r="K1641" s="74">
        <v>10.796880103291912</v>
      </c>
      <c r="L1641" s="74">
        <v>0</v>
      </c>
      <c r="M1641" s="74">
        <v>21.644173021766562</v>
      </c>
      <c r="N1641" s="74">
        <v>0</v>
      </c>
    </row>
    <row r="1642" spans="1:14" x14ac:dyDescent="0.25">
      <c r="A1642" t="e">
        <f>VLOOKUP(VALUE(RIGHT(B1642,4)),'Waste Lookups'!$B$1:$C$295,2,FALSE)</f>
        <v>#N/A</v>
      </c>
      <c r="B1642" s="74" t="s">
        <v>3963</v>
      </c>
      <c r="C1642" s="74" t="s">
        <v>3964</v>
      </c>
      <c r="D1642" s="74">
        <v>2.0128484848484849</v>
      </c>
      <c r="E1642" s="74">
        <v>5.4828599999999987</v>
      </c>
      <c r="F1642" s="74">
        <v>0</v>
      </c>
      <c r="G1642" s="74">
        <v>13.644</v>
      </c>
      <c r="H1642" s="74">
        <v>0</v>
      </c>
      <c r="I1642" s="74"/>
      <c r="J1642" s="74">
        <v>3.0016383603655048</v>
      </c>
      <c r="K1642" s="74">
        <v>8.1762552046993431</v>
      </c>
      <c r="L1642" s="74">
        <v>0</v>
      </c>
      <c r="M1642" s="74">
        <v>20.346466262665437</v>
      </c>
      <c r="N1642" s="74">
        <v>0</v>
      </c>
    </row>
    <row r="1643" spans="1:14" x14ac:dyDescent="0.25">
      <c r="A1643" t="e">
        <f>VLOOKUP(VALUE(RIGHT(B1643,4)),'Waste Lookups'!$B$1:$C$295,2,FALSE)</f>
        <v>#N/A</v>
      </c>
      <c r="B1643" s="74" t="s">
        <v>3965</v>
      </c>
      <c r="C1643" s="74" t="s">
        <v>3966</v>
      </c>
      <c r="D1643" s="74">
        <v>1.3911212121212122</v>
      </c>
      <c r="E1643" s="74">
        <v>2.74146</v>
      </c>
      <c r="F1643" s="74">
        <v>8.3000000000000004E-2</v>
      </c>
      <c r="G1643" s="74">
        <v>6.0425999999999993</v>
      </c>
      <c r="H1643" s="74">
        <v>0</v>
      </c>
      <c r="I1643" s="74"/>
      <c r="J1643" s="74">
        <v>1.7051683683432364</v>
      </c>
      <c r="K1643" s="74">
        <v>3.3603476349485311</v>
      </c>
      <c r="L1643" s="74">
        <v>0.10173734203699053</v>
      </c>
      <c r="M1643" s="74">
        <v>7.406723650514687</v>
      </c>
      <c r="N1643" s="74">
        <v>0</v>
      </c>
    </row>
    <row r="1644" spans="1:14" x14ac:dyDescent="0.25">
      <c r="A1644" t="e">
        <f>VLOOKUP(VALUE(RIGHT(B1644,4)),'Waste Lookups'!$B$1:$C$295,2,FALSE)</f>
        <v>#N/A</v>
      </c>
      <c r="B1644" s="74" t="s">
        <v>3967</v>
      </c>
      <c r="C1644" s="74" t="s">
        <v>3968</v>
      </c>
      <c r="D1644" s="74">
        <v>0</v>
      </c>
      <c r="E1644" s="74">
        <v>0</v>
      </c>
      <c r="F1644" s="74">
        <v>0</v>
      </c>
      <c r="G1644" s="74">
        <v>22.787999999999997</v>
      </c>
      <c r="H1644" s="74">
        <v>0</v>
      </c>
      <c r="I1644" s="74"/>
      <c r="J1644" s="74">
        <v>0</v>
      </c>
      <c r="K1644" s="74">
        <v>0</v>
      </c>
      <c r="L1644" s="74">
        <v>0</v>
      </c>
      <c r="M1644" s="74">
        <v>0</v>
      </c>
      <c r="N1644" s="74">
        <v>0</v>
      </c>
    </row>
    <row r="1645" spans="1:14" x14ac:dyDescent="0.25">
      <c r="A1645" t="e">
        <f>VLOOKUP(VALUE(RIGHT(B1645,4)),'Waste Lookups'!$B$1:$C$295,2,FALSE)</f>
        <v>#N/A</v>
      </c>
      <c r="B1645" s="74" t="s">
        <v>3969</v>
      </c>
      <c r="C1645" s="74" t="s">
        <v>3970</v>
      </c>
      <c r="D1645" s="74">
        <v>0</v>
      </c>
      <c r="E1645" s="74">
        <v>0</v>
      </c>
      <c r="F1645" s="74">
        <v>0.49240000000000006</v>
      </c>
      <c r="G1645" s="74">
        <v>0</v>
      </c>
      <c r="H1645" s="74">
        <v>0</v>
      </c>
      <c r="I1645" s="74"/>
      <c r="J1645" s="74">
        <v>0</v>
      </c>
      <c r="K1645" s="74">
        <v>0</v>
      </c>
      <c r="L1645" s="74">
        <v>0</v>
      </c>
      <c r="M1645" s="74">
        <v>0</v>
      </c>
      <c r="N1645" s="74">
        <v>0</v>
      </c>
    </row>
    <row r="1646" spans="1:14" x14ac:dyDescent="0.25">
      <c r="A1646" t="e">
        <f>VLOOKUP(VALUE(RIGHT(B1646,4)),'Waste Lookups'!$B$1:$C$295,2,FALSE)</f>
        <v>#N/A</v>
      </c>
      <c r="B1646" s="74" t="s">
        <v>3971</v>
      </c>
      <c r="C1646" s="74" t="s">
        <v>3972</v>
      </c>
      <c r="D1646" s="74">
        <v>0.19566666666666666</v>
      </c>
      <c r="E1646" s="74">
        <v>1.29864</v>
      </c>
      <c r="F1646" s="74">
        <v>0</v>
      </c>
      <c r="G1646" s="74">
        <v>2.0223</v>
      </c>
      <c r="H1646" s="74">
        <v>0</v>
      </c>
      <c r="I1646" s="74"/>
      <c r="J1646" s="74">
        <v>0.2114660087357928</v>
      </c>
      <c r="K1646" s="74">
        <v>1.4035002602281941</v>
      </c>
      <c r="L1646" s="74">
        <v>0</v>
      </c>
      <c r="M1646" s="74">
        <v>2.1855930637124041</v>
      </c>
      <c r="N1646" s="74">
        <v>0</v>
      </c>
    </row>
    <row r="1647" spans="1:14" x14ac:dyDescent="0.25">
      <c r="A1647" t="e">
        <f>VLOOKUP(VALUE(RIGHT(B1647,4)),'Waste Lookups'!$B$1:$C$295,2,FALSE)</f>
        <v>#N/A</v>
      </c>
      <c r="B1647" s="74" t="s">
        <v>3973</v>
      </c>
      <c r="C1647" s="74" t="s">
        <v>3974</v>
      </c>
      <c r="D1647" s="74">
        <v>5.0939090909090909</v>
      </c>
      <c r="E1647" s="74">
        <v>0.64932000000000001</v>
      </c>
      <c r="F1647" s="74">
        <v>0</v>
      </c>
      <c r="G1647" s="74">
        <v>1.8772200000000001</v>
      </c>
      <c r="H1647" s="74">
        <v>0</v>
      </c>
      <c r="I1647" s="74"/>
      <c r="J1647" s="74">
        <v>3.5966234522480671</v>
      </c>
      <c r="K1647" s="74">
        <v>0.45846117359682448</v>
      </c>
      <c r="L1647" s="74">
        <v>0</v>
      </c>
      <c r="M1647" s="74">
        <v>1.3254365864280031</v>
      </c>
      <c r="N1647" s="74">
        <v>0</v>
      </c>
    </row>
    <row r="1648" spans="1:14" x14ac:dyDescent="0.25">
      <c r="A1648" t="str">
        <f>VLOOKUP(VALUE(RIGHT(B1648,4)),'Waste Lookups'!$B$1:$C$295,2,FALSE)</f>
        <v>Tenacre Court</v>
      </c>
      <c r="B1648" s="74" t="s">
        <v>704</v>
      </c>
      <c r="C1648" s="74" t="s">
        <v>3975</v>
      </c>
      <c r="D1648" s="74">
        <v>0</v>
      </c>
      <c r="E1648" s="74">
        <v>0</v>
      </c>
      <c r="F1648" s="74">
        <v>0</v>
      </c>
      <c r="G1648" s="74">
        <v>0</v>
      </c>
      <c r="H1648" s="74">
        <v>0.77160954446854668</v>
      </c>
      <c r="I1648" s="74"/>
      <c r="J1648" s="74">
        <v>0</v>
      </c>
      <c r="K1648" s="74">
        <v>0</v>
      </c>
      <c r="L1648" s="74">
        <v>0</v>
      </c>
      <c r="M1648" s="74">
        <v>0</v>
      </c>
      <c r="N1648" s="74">
        <v>2.2104815618221254</v>
      </c>
    </row>
    <row r="1649" spans="1:14" x14ac:dyDescent="0.25">
      <c r="A1649" t="str">
        <f>VLOOKUP(VALUE(RIGHT(B1649,4)),'Waste Lookups'!$B$1:$C$295,2,FALSE)</f>
        <v>Wharf House</v>
      </c>
      <c r="B1649" s="74" t="s">
        <v>705</v>
      </c>
      <c r="C1649" s="74" t="s">
        <v>3976</v>
      </c>
      <c r="D1649" s="74">
        <v>0</v>
      </c>
      <c r="E1649" s="74">
        <v>5.1943200000000003</v>
      </c>
      <c r="F1649" s="74">
        <v>0</v>
      </c>
      <c r="G1649" s="74">
        <v>13.615560000000002</v>
      </c>
      <c r="H1649" s="74">
        <v>1.7347521198974563</v>
      </c>
      <c r="I1649" s="74"/>
      <c r="J1649" s="74">
        <v>0</v>
      </c>
      <c r="K1649" s="74">
        <v>3.7289409521232062</v>
      </c>
      <c r="L1649" s="74">
        <v>0</v>
      </c>
      <c r="M1649" s="74">
        <v>9.7744496430891132</v>
      </c>
      <c r="N1649" s="74">
        <v>1.2453580491129099</v>
      </c>
    </row>
    <row r="1650" spans="1:14" x14ac:dyDescent="0.25">
      <c r="A1650" t="str">
        <f>VLOOKUP(VALUE(RIGHT(B1650,4)),'Waste Lookups'!$B$1:$C$295,2,FALSE)</f>
        <v>11 Station Road</v>
      </c>
      <c r="B1650" s="74" t="s">
        <v>779</v>
      </c>
      <c r="C1650" s="74" t="s">
        <v>3977</v>
      </c>
      <c r="D1650" s="74">
        <v>0</v>
      </c>
      <c r="E1650" s="74">
        <v>1.8212400000000002</v>
      </c>
      <c r="F1650" s="74">
        <v>0</v>
      </c>
      <c r="G1650" s="74">
        <v>4.6160099999999993</v>
      </c>
      <c r="H1650" s="74">
        <v>1.274118714257543</v>
      </c>
      <c r="I1650" s="74"/>
      <c r="J1650" s="74">
        <v>0</v>
      </c>
      <c r="K1650" s="74">
        <v>1.9940803524396535</v>
      </c>
      <c r="L1650" s="74">
        <v>0</v>
      </c>
      <c r="M1650" s="74">
        <v>5.0540812016345811</v>
      </c>
      <c r="N1650" s="74">
        <v>1.3950358518243828</v>
      </c>
    </row>
    <row r="1651" spans="1:14" x14ac:dyDescent="0.25">
      <c r="A1651" t="e">
        <f>VLOOKUP(VALUE(RIGHT(B1651,4)),'Waste Lookups'!$B$1:$C$295,2,FALSE)</f>
        <v>#N/A</v>
      </c>
      <c r="B1651" s="74" t="s">
        <v>3978</v>
      </c>
      <c r="C1651" s="74" t="s">
        <v>3979</v>
      </c>
      <c r="D1651" s="74">
        <v>0</v>
      </c>
      <c r="E1651" s="74">
        <v>0.42863999999999997</v>
      </c>
      <c r="F1651" s="74">
        <v>0</v>
      </c>
      <c r="G1651" s="74">
        <v>5.2282799999999989</v>
      </c>
      <c r="H1651" s="74">
        <v>0.32285860776967062</v>
      </c>
      <c r="I1651" s="74"/>
      <c r="J1651" s="74">
        <v>0</v>
      </c>
      <c r="K1651" s="74">
        <v>0.22044574981046247</v>
      </c>
      <c r="L1651" s="74">
        <v>0</v>
      </c>
      <c r="M1651" s="74">
        <v>2.6888580272934042</v>
      </c>
      <c r="N1651" s="74">
        <v>0.16604331810504633</v>
      </c>
    </row>
    <row r="1652" spans="1:14" x14ac:dyDescent="0.25">
      <c r="A1652" t="str">
        <f>VLOOKUP(VALUE(RIGHT(B1652,4)),'Waste Lookups'!$B$1:$C$295,2,FALSE)</f>
        <v>Fifty Pembroke Court</v>
      </c>
      <c r="B1652" s="74" t="s">
        <v>773</v>
      </c>
      <c r="C1652" s="74" t="s">
        <v>3980</v>
      </c>
      <c r="D1652" s="74">
        <v>0</v>
      </c>
      <c r="E1652" s="74">
        <v>0.32495999999999997</v>
      </c>
      <c r="F1652" s="74">
        <v>0</v>
      </c>
      <c r="G1652" s="74">
        <v>0.85319999999999996</v>
      </c>
      <c r="H1652" s="74">
        <v>3.5687604022875168</v>
      </c>
      <c r="I1652" s="74"/>
      <c r="J1652" s="74">
        <v>0</v>
      </c>
      <c r="K1652" s="74">
        <v>0.21057093523676154</v>
      </c>
      <c r="L1652" s="74">
        <v>0</v>
      </c>
      <c r="M1652" s="74">
        <v>0.5528653432545696</v>
      </c>
      <c r="N1652" s="74">
        <v>2.3125222044116311</v>
      </c>
    </row>
    <row r="1653" spans="1:14" x14ac:dyDescent="0.25">
      <c r="A1653" t="e">
        <f>VLOOKUP(VALUE(RIGHT(B1653,4)),'Waste Lookups'!$B$1:$C$295,2,FALSE)</f>
        <v>#N/A</v>
      </c>
      <c r="B1653" s="74" t="s">
        <v>3981</v>
      </c>
      <c r="C1653" s="74" t="s">
        <v>3982</v>
      </c>
      <c r="D1653" s="74">
        <v>0.5623636363636364</v>
      </c>
      <c r="E1653" s="74">
        <v>1.1264400000000001</v>
      </c>
      <c r="F1653" s="74">
        <v>0</v>
      </c>
      <c r="G1653" s="74">
        <v>0.84087000000000012</v>
      </c>
      <c r="H1653" s="74">
        <v>0</v>
      </c>
      <c r="I1653" s="74"/>
      <c r="J1653" s="74">
        <v>1.1435982324584895</v>
      </c>
      <c r="K1653" s="74">
        <v>2.290679392608463</v>
      </c>
      <c r="L1653" s="74">
        <v>0</v>
      </c>
      <c r="M1653" s="74">
        <v>1.7099566606855923</v>
      </c>
      <c r="N1653" s="74">
        <v>0</v>
      </c>
    </row>
    <row r="1654" spans="1:14" x14ac:dyDescent="0.25">
      <c r="A1654" t="e">
        <f>VLOOKUP(VALUE(RIGHT(B1654,4)),'Waste Lookups'!$B$1:$C$295,2,FALSE)</f>
        <v>#N/A</v>
      </c>
      <c r="B1654" s="74" t="s">
        <v>3983</v>
      </c>
      <c r="C1654" s="74" t="s">
        <v>3984</v>
      </c>
      <c r="D1654" s="74">
        <v>0.23000000000000004</v>
      </c>
      <c r="E1654" s="74">
        <v>0</v>
      </c>
      <c r="F1654" s="74">
        <v>0</v>
      </c>
      <c r="G1654" s="74">
        <v>0</v>
      </c>
      <c r="H1654" s="74">
        <v>0</v>
      </c>
      <c r="I1654" s="74"/>
      <c r="J1654" s="74">
        <v>1.5241111111111112</v>
      </c>
      <c r="K1654" s="74">
        <v>0</v>
      </c>
      <c r="L1654" s="74">
        <v>0</v>
      </c>
      <c r="M1654" s="74">
        <v>0</v>
      </c>
      <c r="N1654" s="74">
        <v>0</v>
      </c>
    </row>
    <row r="1655" spans="1:14" x14ac:dyDescent="0.25">
      <c r="A1655" t="e">
        <f>VLOOKUP(VALUE(RIGHT(B1655,4)),'Waste Lookups'!$B$1:$C$295,2,FALSE)</f>
        <v>#N/A</v>
      </c>
      <c r="B1655" s="74" t="s">
        <v>3985</v>
      </c>
      <c r="C1655" s="74" t="s">
        <v>3986</v>
      </c>
      <c r="D1655" s="74">
        <v>0.5131212121212122</v>
      </c>
      <c r="E1655" s="74">
        <v>0.48222000000000004</v>
      </c>
      <c r="F1655" s="74">
        <v>4.9763636363636364E-2</v>
      </c>
      <c r="G1655" s="74">
        <v>2.2202999999999999</v>
      </c>
      <c r="H1655" s="74">
        <v>0</v>
      </c>
      <c r="I1655" s="74"/>
      <c r="J1655" s="74">
        <v>0.33390547059459941</v>
      </c>
      <c r="K1655" s="74">
        <v>0.31379699810985734</v>
      </c>
      <c r="L1655" s="74">
        <v>3.238289516390782E-2</v>
      </c>
      <c r="M1655" s="74">
        <v>1.4448249241079096</v>
      </c>
      <c r="N1655" s="74">
        <v>0</v>
      </c>
    </row>
    <row r="1656" spans="1:14" x14ac:dyDescent="0.25">
      <c r="A1656" t="e">
        <f>VLOOKUP(VALUE(RIGHT(B1656,4)),'Waste Lookups'!$B$1:$C$295,2,FALSE)</f>
        <v>#N/A</v>
      </c>
      <c r="B1656" s="74" t="s">
        <v>3987</v>
      </c>
      <c r="C1656" s="74" t="s">
        <v>3988</v>
      </c>
      <c r="D1656" s="74">
        <v>2.2219090909090911</v>
      </c>
      <c r="E1656" s="74">
        <v>1.2265200000000001</v>
      </c>
      <c r="F1656" s="74">
        <v>0.54578181818181826</v>
      </c>
      <c r="G1656" s="74">
        <v>9.8292599999999997</v>
      </c>
      <c r="H1656" s="74">
        <v>0.75000907118911453</v>
      </c>
      <c r="I1656" s="74"/>
      <c r="J1656" s="74">
        <v>1.7172999037907639</v>
      </c>
      <c r="K1656" s="74">
        <v>0.94796978265913523</v>
      </c>
      <c r="L1656" s="74">
        <v>0.42183141861618723</v>
      </c>
      <c r="M1656" s="74">
        <v>7.5969747463556514</v>
      </c>
      <c r="N1656" s="74">
        <v>0.57967740942465251</v>
      </c>
    </row>
    <row r="1657" spans="1:14" x14ac:dyDescent="0.25">
      <c r="A1657" t="e">
        <f>VLOOKUP(VALUE(RIGHT(B1657,4)),'Waste Lookups'!$B$1:$C$295,2,FALSE)</f>
        <v>#N/A</v>
      </c>
      <c r="B1657" s="74" t="s">
        <v>3989</v>
      </c>
      <c r="C1657" s="74" t="s">
        <v>3990</v>
      </c>
      <c r="D1657" s="74">
        <v>0</v>
      </c>
      <c r="E1657" s="74">
        <v>0</v>
      </c>
      <c r="F1657" s="74">
        <v>0</v>
      </c>
      <c r="G1657" s="74">
        <v>0</v>
      </c>
      <c r="H1657" s="74">
        <v>0</v>
      </c>
      <c r="I1657" s="74"/>
      <c r="J1657" s="74">
        <v>0</v>
      </c>
      <c r="K1657" s="74">
        <v>0</v>
      </c>
      <c r="L1657" s="74">
        <v>0</v>
      </c>
      <c r="M1657" s="74">
        <v>0</v>
      </c>
      <c r="N1657" s="74">
        <v>0</v>
      </c>
    </row>
    <row r="1658" spans="1:14" x14ac:dyDescent="0.25">
      <c r="A1658" t="e">
        <f>VLOOKUP(VALUE(RIGHT(B1658,4)),'Waste Lookups'!$B$1:$C$295,2,FALSE)</f>
        <v>#N/A</v>
      </c>
      <c r="B1658" s="74" t="s">
        <v>3991</v>
      </c>
      <c r="C1658" s="74" t="s">
        <v>3992</v>
      </c>
      <c r="D1658" s="74">
        <v>4.8545454545454544E-2</v>
      </c>
      <c r="E1658" s="74">
        <v>2.4529200000000002</v>
      </c>
      <c r="F1658" s="74">
        <v>0</v>
      </c>
      <c r="G1658" s="74">
        <v>6.4185299999999996</v>
      </c>
      <c r="H1658" s="74">
        <v>0.65799723920331288</v>
      </c>
      <c r="I1658" s="74"/>
      <c r="J1658" s="74">
        <v>0.10884151534223797</v>
      </c>
      <c r="K1658" s="74">
        <v>5.4995783294870906</v>
      </c>
      <c r="L1658" s="74">
        <v>0</v>
      </c>
      <c r="M1658" s="74">
        <v>14.390688850497682</v>
      </c>
      <c r="N1658" s="74">
        <v>1.4752651360765425</v>
      </c>
    </row>
    <row r="1659" spans="1:14" x14ac:dyDescent="0.25">
      <c r="A1659" t="e">
        <f>VLOOKUP(VALUE(RIGHT(B1659,4)),'Waste Lookups'!$B$1:$C$295,2,FALSE)</f>
        <v>#N/A</v>
      </c>
      <c r="B1659" s="74" t="s">
        <v>3993</v>
      </c>
      <c r="C1659" s="74" t="s">
        <v>3994</v>
      </c>
      <c r="D1659" s="74">
        <v>0.41618181818181826</v>
      </c>
      <c r="E1659" s="74">
        <v>0.64932000000000001</v>
      </c>
      <c r="F1659" s="74">
        <v>0</v>
      </c>
      <c r="G1659" s="74">
        <v>2.9641500000000001</v>
      </c>
      <c r="H1659" s="74">
        <v>0</v>
      </c>
      <c r="I1659" s="74"/>
      <c r="J1659" s="74">
        <v>0.39925745768902954</v>
      </c>
      <c r="K1659" s="74">
        <v>0.6229148922440032</v>
      </c>
      <c r="L1659" s="74">
        <v>0</v>
      </c>
      <c r="M1659" s="74">
        <v>2.8436105122975763</v>
      </c>
      <c r="N1659" s="74">
        <v>0</v>
      </c>
    </row>
    <row r="1660" spans="1:14" x14ac:dyDescent="0.25">
      <c r="A1660" t="e">
        <f>VLOOKUP(VALUE(RIGHT(B1660,4)),'Waste Lookups'!$B$1:$C$295,2,FALSE)</f>
        <v>#N/A</v>
      </c>
      <c r="B1660" s="74" t="s">
        <v>3995</v>
      </c>
      <c r="C1660" s="74" t="s">
        <v>3996</v>
      </c>
      <c r="D1660" s="74">
        <v>1.4744545454545452</v>
      </c>
      <c r="E1660" s="74">
        <v>1.7549999999999997</v>
      </c>
      <c r="F1660" s="74">
        <v>0.39576363636363637</v>
      </c>
      <c r="G1660" s="74">
        <v>5.9895899999999997</v>
      </c>
      <c r="H1660" s="74">
        <v>0</v>
      </c>
      <c r="I1660" s="74"/>
      <c r="J1660" s="74">
        <v>0.9731887862836518</v>
      </c>
      <c r="K1660" s="74">
        <v>1.1583580688825388</v>
      </c>
      <c r="L1660" s="74">
        <v>0.26121709490148898</v>
      </c>
      <c r="M1660" s="74">
        <v>3.9533275816513767</v>
      </c>
      <c r="N1660" s="74">
        <v>0</v>
      </c>
    </row>
    <row r="1661" spans="1:14" x14ac:dyDescent="0.25">
      <c r="A1661" t="str">
        <f>VLOOKUP(VALUE(RIGHT(B1661,4)),'Waste Lookups'!$B$1:$C$295,2,FALSE)</f>
        <v>Lanchester House</v>
      </c>
      <c r="B1661" s="74" t="s">
        <v>774</v>
      </c>
      <c r="C1661" s="74" t="s">
        <v>3997</v>
      </c>
      <c r="D1661" s="74">
        <v>0</v>
      </c>
      <c r="E1661" s="74">
        <v>0</v>
      </c>
      <c r="F1661" s="74">
        <v>0</v>
      </c>
      <c r="G1661" s="74">
        <v>0</v>
      </c>
      <c r="H1661" s="74">
        <v>30.990185762177088</v>
      </c>
      <c r="I1661" s="74"/>
      <c r="J1661" s="74">
        <v>0</v>
      </c>
      <c r="K1661" s="74">
        <v>0</v>
      </c>
      <c r="L1661" s="74">
        <v>0</v>
      </c>
      <c r="M1661" s="74">
        <v>0</v>
      </c>
      <c r="N1661" s="74">
        <v>29.713122198120029</v>
      </c>
    </row>
    <row r="1662" spans="1:14" x14ac:dyDescent="0.25">
      <c r="A1662" t="e">
        <f>VLOOKUP(VALUE(RIGHT(B1662,4)),'Waste Lookups'!$B$1:$C$295,2,FALSE)</f>
        <v>#N/A</v>
      </c>
      <c r="B1662" s="74" t="s">
        <v>3998</v>
      </c>
      <c r="C1662" s="74" t="s">
        <v>3999</v>
      </c>
      <c r="D1662" s="74">
        <v>0</v>
      </c>
      <c r="E1662" s="74">
        <v>3.1065</v>
      </c>
      <c r="F1662" s="74">
        <v>0</v>
      </c>
      <c r="G1662" s="74">
        <v>13.439969999999999</v>
      </c>
      <c r="H1662" s="74">
        <v>0</v>
      </c>
      <c r="I1662" s="74"/>
      <c r="J1662" s="74">
        <v>0</v>
      </c>
      <c r="K1662" s="74">
        <v>4.7116336433657544</v>
      </c>
      <c r="L1662" s="74">
        <v>0</v>
      </c>
      <c r="M1662" s="74">
        <v>20.384424534951364</v>
      </c>
      <c r="N1662" s="74">
        <v>0</v>
      </c>
    </row>
    <row r="1663" spans="1:14" x14ac:dyDescent="0.25">
      <c r="A1663" t="e">
        <f>VLOOKUP(VALUE(RIGHT(B1663,4)),'Waste Lookups'!$B$1:$C$295,2,FALSE)</f>
        <v>#N/A</v>
      </c>
      <c r="B1663" s="74" t="s">
        <v>4000</v>
      </c>
      <c r="C1663" s="74" t="s">
        <v>4001</v>
      </c>
      <c r="D1663" s="74">
        <v>2.1518787878787879</v>
      </c>
      <c r="E1663" s="74">
        <v>4.2607200000000001</v>
      </c>
      <c r="F1663" s="74">
        <v>0</v>
      </c>
      <c r="G1663" s="74">
        <v>0</v>
      </c>
      <c r="H1663" s="74">
        <v>0.24118319858016171</v>
      </c>
      <c r="I1663" s="74"/>
      <c r="J1663" s="74">
        <v>1.4611735638366801</v>
      </c>
      <c r="K1663" s="74">
        <v>2.8931236563966265</v>
      </c>
      <c r="L1663" s="74">
        <v>0</v>
      </c>
      <c r="M1663" s="74">
        <v>0</v>
      </c>
      <c r="N1663" s="74">
        <v>0.16376875676826239</v>
      </c>
    </row>
    <row r="1664" spans="1:14" x14ac:dyDescent="0.25">
      <c r="A1664" t="e">
        <f>VLOOKUP(VALUE(RIGHT(B1664,4)),'Waste Lookups'!$B$1:$C$295,2,FALSE)</f>
        <v>#N/A</v>
      </c>
      <c r="B1664" s="74" t="s">
        <v>4002</v>
      </c>
      <c r="C1664" s="74" t="s">
        <v>4003</v>
      </c>
      <c r="D1664" s="74">
        <v>12.737121212121211</v>
      </c>
      <c r="E1664" s="74">
        <v>0</v>
      </c>
      <c r="F1664" s="74">
        <v>0.68234545454545459</v>
      </c>
      <c r="G1664" s="74">
        <v>0</v>
      </c>
      <c r="H1664" s="74">
        <v>4.9732770656675198</v>
      </c>
      <c r="I1664" s="74"/>
      <c r="J1664" s="74">
        <v>10.576673838992797</v>
      </c>
      <c r="K1664" s="74">
        <v>0</v>
      </c>
      <c r="L1664" s="74">
        <v>0.56660725748441421</v>
      </c>
      <c r="M1664" s="74">
        <v>0</v>
      </c>
      <c r="N1664" s="74">
        <v>4.1297188397996338</v>
      </c>
    </row>
    <row r="1665" spans="1:14" x14ac:dyDescent="0.25">
      <c r="A1665" t="e">
        <f>VLOOKUP(VALUE(RIGHT(B1665,4)),'Waste Lookups'!$B$1:$C$295,2,FALSE)</f>
        <v>#N/A</v>
      </c>
      <c r="B1665" s="74" t="s">
        <v>4004</v>
      </c>
      <c r="C1665" s="74" t="s">
        <v>4005</v>
      </c>
      <c r="D1665" s="74">
        <v>0</v>
      </c>
      <c r="E1665" s="74">
        <v>7.1999999999999981E-2</v>
      </c>
      <c r="F1665" s="74">
        <v>0</v>
      </c>
      <c r="G1665" s="74">
        <v>0</v>
      </c>
      <c r="H1665" s="74">
        <v>0</v>
      </c>
      <c r="I1665" s="74"/>
      <c r="J1665" s="74">
        <v>0</v>
      </c>
      <c r="K1665" s="74">
        <v>0</v>
      </c>
      <c r="L1665" s="74">
        <v>0</v>
      </c>
      <c r="M1665" s="74">
        <v>0</v>
      </c>
      <c r="N1665" s="74">
        <v>0</v>
      </c>
    </row>
    <row r="1666" spans="1:14" x14ac:dyDescent="0.25">
      <c r="A1666" t="str">
        <f>VLOOKUP(VALUE(RIGHT(B1666,4)),'Waste Lookups'!$B$1:$C$295,2,FALSE)</f>
        <v>Friars Walk</v>
      </c>
      <c r="B1666" s="74" t="s">
        <v>733</v>
      </c>
      <c r="C1666" s="74" t="s">
        <v>4006</v>
      </c>
      <c r="D1666" s="74">
        <v>0</v>
      </c>
      <c r="E1666" s="74">
        <v>16.472159999999999</v>
      </c>
      <c r="F1666" s="74">
        <v>0</v>
      </c>
      <c r="G1666" s="74">
        <v>0</v>
      </c>
      <c r="H1666" s="74">
        <v>14.713588641293631</v>
      </c>
      <c r="I1666" s="74"/>
      <c r="J1666" s="74">
        <v>0</v>
      </c>
      <c r="K1666" s="74">
        <v>20.830706129013144</v>
      </c>
      <c r="L1666" s="74">
        <v>0</v>
      </c>
      <c r="M1666" s="74">
        <v>0</v>
      </c>
      <c r="N1666" s="74">
        <v>18.606815444360269</v>
      </c>
    </row>
    <row r="1667" spans="1:14" x14ac:dyDescent="0.25">
      <c r="A1667" t="e">
        <f>VLOOKUP(VALUE(RIGHT(B1667,4)),'Waste Lookups'!$B$1:$C$295,2,FALSE)</f>
        <v>#N/A</v>
      </c>
      <c r="B1667" s="74" t="s">
        <v>4007</v>
      </c>
      <c r="C1667" s="74" t="s">
        <v>4008</v>
      </c>
      <c r="D1667" s="74">
        <v>0</v>
      </c>
      <c r="E1667" s="74">
        <v>0.93600000000000005</v>
      </c>
      <c r="F1667" s="74">
        <v>0</v>
      </c>
      <c r="G1667" s="74">
        <v>0</v>
      </c>
      <c r="H1667" s="74">
        <v>0</v>
      </c>
      <c r="I1667" s="74"/>
      <c r="J1667" s="74">
        <v>0</v>
      </c>
      <c r="K1667" s="74">
        <v>6.1974</v>
      </c>
      <c r="L1667" s="74">
        <v>0</v>
      </c>
      <c r="M1667" s="74">
        <v>0</v>
      </c>
      <c r="N1667" s="74">
        <v>0</v>
      </c>
    </row>
    <row r="1668" spans="1:14" x14ac:dyDescent="0.25">
      <c r="A1668" t="e">
        <f>VLOOKUP(VALUE(RIGHT(B1668,4)),'Waste Lookups'!$B$1:$C$295,2,FALSE)</f>
        <v>#N/A</v>
      </c>
      <c r="B1668" s="74" t="s">
        <v>4009</v>
      </c>
      <c r="C1668" s="74" t="s">
        <v>4010</v>
      </c>
      <c r="D1668" s="74">
        <v>11.912181818181818</v>
      </c>
      <c r="E1668" s="74">
        <v>20.731199999999998</v>
      </c>
      <c r="F1668" s="74">
        <v>0.62041818181818187</v>
      </c>
      <c r="G1668" s="74">
        <v>0</v>
      </c>
      <c r="H1668" s="74">
        <v>0</v>
      </c>
      <c r="I1668" s="74"/>
      <c r="J1668" s="74">
        <v>12.474438382648868</v>
      </c>
      <c r="K1668" s="74">
        <v>21.70971539434095</v>
      </c>
      <c r="L1668" s="74">
        <v>0.6497020024285719</v>
      </c>
      <c r="M1668" s="74">
        <v>0</v>
      </c>
      <c r="N1668" s="74">
        <v>0</v>
      </c>
    </row>
    <row r="1669" spans="1:14" x14ac:dyDescent="0.25">
      <c r="A1669" t="e">
        <f>VLOOKUP(VALUE(RIGHT(B1669,4)),'Waste Lookups'!$B$1:$C$295,2,FALSE)</f>
        <v>#N/A</v>
      </c>
      <c r="B1669" s="74" t="s">
        <v>4011</v>
      </c>
      <c r="C1669" s="74" t="s">
        <v>4012</v>
      </c>
      <c r="D1669" s="74">
        <v>7.3002727272727288</v>
      </c>
      <c r="E1669" s="74">
        <v>6.9185999999999988</v>
      </c>
      <c r="F1669" s="74">
        <v>0</v>
      </c>
      <c r="G1669" s="74">
        <v>0</v>
      </c>
      <c r="H1669" s="74">
        <v>0</v>
      </c>
      <c r="I1669" s="74"/>
      <c r="J1669" s="74">
        <v>7.4521281987578813</v>
      </c>
      <c r="K1669" s="74">
        <v>7.0625161664593952</v>
      </c>
      <c r="L1669" s="74">
        <v>0</v>
      </c>
      <c r="M1669" s="74">
        <v>0</v>
      </c>
      <c r="N1669" s="74">
        <v>0</v>
      </c>
    </row>
    <row r="1670" spans="1:14" x14ac:dyDescent="0.25">
      <c r="A1670" t="e">
        <f>VLOOKUP(VALUE(RIGHT(B1670,4)),'Waste Lookups'!$B$1:$C$295,2,FALSE)</f>
        <v>#N/A</v>
      </c>
      <c r="B1670" s="74" t="s">
        <v>4013</v>
      </c>
      <c r="C1670" s="74" t="s">
        <v>4014</v>
      </c>
      <c r="D1670" s="74">
        <v>11.438969696969698</v>
      </c>
      <c r="E1670" s="74">
        <v>10.0467</v>
      </c>
      <c r="F1670" s="74">
        <v>0</v>
      </c>
      <c r="G1670" s="74">
        <v>2.3633999999999999</v>
      </c>
      <c r="H1670" s="74">
        <v>0</v>
      </c>
      <c r="I1670" s="74"/>
      <c r="J1670" s="74">
        <v>14.158407969974631</v>
      </c>
      <c r="K1670" s="74">
        <v>12.435147668030483</v>
      </c>
      <c r="L1670" s="74">
        <v>0</v>
      </c>
      <c r="M1670" s="74">
        <v>2.9252618271296291</v>
      </c>
      <c r="N1670" s="74">
        <v>0</v>
      </c>
    </row>
    <row r="1671" spans="1:14" x14ac:dyDescent="0.25">
      <c r="A1671" t="e">
        <f>VLOOKUP(VALUE(RIGHT(B1671,4)),'Waste Lookups'!$B$1:$C$295,2,FALSE)</f>
        <v>#N/A</v>
      </c>
      <c r="B1671" s="74" t="s">
        <v>4015</v>
      </c>
      <c r="C1671" s="74" t="s">
        <v>4016</v>
      </c>
      <c r="D1671" s="74">
        <v>0</v>
      </c>
      <c r="E1671" s="74">
        <v>27.982139999999994</v>
      </c>
      <c r="F1671" s="74">
        <v>0</v>
      </c>
      <c r="G1671" s="74">
        <v>0</v>
      </c>
      <c r="H1671" s="74">
        <v>0</v>
      </c>
      <c r="I1671" s="74"/>
      <c r="J1671" s="74">
        <v>0</v>
      </c>
      <c r="K1671" s="74">
        <v>7.3682949999999998</v>
      </c>
      <c r="L1671" s="74">
        <v>0</v>
      </c>
      <c r="M1671" s="74">
        <v>0</v>
      </c>
      <c r="N1671" s="74">
        <v>0</v>
      </c>
    </row>
    <row r="1672" spans="1:14" x14ac:dyDescent="0.25">
      <c r="A1672" t="e">
        <f>VLOOKUP(VALUE(RIGHT(B1672,4)),'Waste Lookups'!$B$1:$C$295,2,FALSE)</f>
        <v>#N/A</v>
      </c>
      <c r="B1672" s="74" t="s">
        <v>4017</v>
      </c>
      <c r="C1672" s="74" t="s">
        <v>4018</v>
      </c>
      <c r="D1672" s="74">
        <v>0.92060606060606076</v>
      </c>
      <c r="E1672" s="74">
        <v>3.4759799999999998</v>
      </c>
      <c r="F1672" s="74">
        <v>0</v>
      </c>
      <c r="G1672" s="74">
        <v>1.6742699999999999</v>
      </c>
      <c r="H1672" s="74">
        <v>0</v>
      </c>
      <c r="I1672" s="74"/>
      <c r="J1672" s="74">
        <v>0.66591733489634641</v>
      </c>
      <c r="K1672" s="74">
        <v>2.514338582812675</v>
      </c>
      <c r="L1672" s="74">
        <v>0</v>
      </c>
      <c r="M1672" s="74">
        <v>1.2110776411388375</v>
      </c>
      <c r="N1672" s="74">
        <v>0</v>
      </c>
    </row>
    <row r="1673" spans="1:14" x14ac:dyDescent="0.25">
      <c r="A1673" t="e">
        <f>VLOOKUP(VALUE(RIGHT(B1673,4)),'Waste Lookups'!$B$1:$C$295,2,FALSE)</f>
        <v>#N/A</v>
      </c>
      <c r="B1673" s="74" t="s">
        <v>4019</v>
      </c>
      <c r="C1673" s="74" t="s">
        <v>4020</v>
      </c>
      <c r="D1673" s="74">
        <v>0</v>
      </c>
      <c r="E1673" s="74">
        <v>2.5116000000000001</v>
      </c>
      <c r="F1673" s="74">
        <v>0</v>
      </c>
      <c r="G1673" s="74">
        <v>3.7673999999999994</v>
      </c>
      <c r="H1673" s="74">
        <v>0</v>
      </c>
      <c r="I1673" s="74"/>
      <c r="J1673" s="74">
        <v>0</v>
      </c>
      <c r="K1673" s="74">
        <v>0</v>
      </c>
      <c r="L1673" s="74">
        <v>0</v>
      </c>
      <c r="M1673" s="74">
        <v>0</v>
      </c>
      <c r="N1673" s="74">
        <v>0</v>
      </c>
    </row>
    <row r="1674" spans="1:14" x14ac:dyDescent="0.25">
      <c r="A1674" t="e">
        <f>VLOOKUP(VALUE(RIGHT(B1674,4)),'Waste Lookups'!$B$1:$C$295,2,FALSE)</f>
        <v>#N/A</v>
      </c>
      <c r="B1674" s="74" t="s">
        <v>4021</v>
      </c>
      <c r="C1674" s="74" t="s">
        <v>4022</v>
      </c>
      <c r="D1674" s="74">
        <v>0.17927272727272725</v>
      </c>
      <c r="E1674" s="74">
        <v>0</v>
      </c>
      <c r="F1674" s="74">
        <v>0</v>
      </c>
      <c r="G1674" s="74">
        <v>0</v>
      </c>
      <c r="H1674" s="74">
        <v>0</v>
      </c>
      <c r="I1674" s="74"/>
      <c r="J1674" s="74">
        <v>2.4978888888888893</v>
      </c>
      <c r="K1674" s="74">
        <v>0</v>
      </c>
      <c r="L1674" s="74">
        <v>0</v>
      </c>
      <c r="M1674" s="74">
        <v>0</v>
      </c>
      <c r="N1674" s="74">
        <v>0</v>
      </c>
    </row>
    <row r="1675" spans="1:14" x14ac:dyDescent="0.25">
      <c r="A1675" t="e">
        <f>VLOOKUP(VALUE(RIGHT(B1675,4)),'Waste Lookups'!$B$1:$C$295,2,FALSE)</f>
        <v>#N/A</v>
      </c>
      <c r="B1675" s="74" t="s">
        <v>4023</v>
      </c>
      <c r="C1675" s="74" t="s">
        <v>4024</v>
      </c>
      <c r="D1675" s="74">
        <v>0</v>
      </c>
      <c r="E1675" s="74">
        <v>19.914000000000001</v>
      </c>
      <c r="F1675" s="74">
        <v>0</v>
      </c>
      <c r="G1675" s="74">
        <v>0</v>
      </c>
      <c r="H1675" s="74">
        <v>0</v>
      </c>
      <c r="I1675" s="74"/>
      <c r="J1675" s="74">
        <v>0</v>
      </c>
      <c r="K1675" s="74">
        <v>31.295000000000002</v>
      </c>
      <c r="L1675" s="74">
        <v>0</v>
      </c>
      <c r="M1675" s="74">
        <v>0</v>
      </c>
      <c r="N1675" s="74">
        <v>0</v>
      </c>
    </row>
    <row r="1676" spans="1:14" x14ac:dyDescent="0.25">
      <c r="A1676" t="e">
        <f>VLOOKUP(VALUE(RIGHT(B1676,4)),'Waste Lookups'!$B$1:$C$295,2,FALSE)</f>
        <v>#N/A</v>
      </c>
      <c r="B1676" s="74" t="s">
        <v>4025</v>
      </c>
      <c r="C1676" s="74" t="s">
        <v>4026</v>
      </c>
      <c r="D1676" s="74">
        <v>11.054212121212121</v>
      </c>
      <c r="E1676" s="74">
        <v>11.06202</v>
      </c>
      <c r="F1676" s="74">
        <v>0</v>
      </c>
      <c r="G1676" s="74">
        <v>0</v>
      </c>
      <c r="H1676" s="74">
        <v>0</v>
      </c>
      <c r="I1676" s="74"/>
      <c r="J1676" s="74">
        <v>14.957986504492554</v>
      </c>
      <c r="K1676" s="74">
        <v>14.968551721104753</v>
      </c>
      <c r="L1676" s="74">
        <v>0</v>
      </c>
      <c r="M1676" s="74">
        <v>0</v>
      </c>
      <c r="N1676" s="74">
        <v>0</v>
      </c>
    </row>
    <row r="1677" spans="1:14" x14ac:dyDescent="0.25">
      <c r="A1677" t="e">
        <f>VLOOKUP(VALUE(RIGHT(B1677,4)),'Waste Lookups'!$B$1:$C$295,2,FALSE)</f>
        <v>#N/A</v>
      </c>
      <c r="B1677" s="74" t="s">
        <v>4027</v>
      </c>
      <c r="C1677" s="74" t="s">
        <v>4028</v>
      </c>
      <c r="D1677" s="74">
        <v>11.671636363636363</v>
      </c>
      <c r="E1677" s="74">
        <v>0</v>
      </c>
      <c r="F1677" s="74">
        <v>0</v>
      </c>
      <c r="G1677" s="74">
        <v>0</v>
      </c>
      <c r="H1677" s="74">
        <v>0</v>
      </c>
      <c r="I1677" s="74"/>
      <c r="J1677" s="74">
        <v>10.194055555555556</v>
      </c>
      <c r="K1677" s="74">
        <v>0</v>
      </c>
      <c r="L1677" s="74">
        <v>0</v>
      </c>
      <c r="M1677" s="74">
        <v>0</v>
      </c>
      <c r="N1677" s="74">
        <v>0</v>
      </c>
    </row>
    <row r="1678" spans="1:14" x14ac:dyDescent="0.25">
      <c r="A1678" t="e">
        <f>VLOOKUP(VALUE(RIGHT(B1678,4)),'Waste Lookups'!$B$1:$C$295,2,FALSE)</f>
        <v>#N/A</v>
      </c>
      <c r="B1678" s="74" t="s">
        <v>4029</v>
      </c>
      <c r="C1678" s="74" t="s">
        <v>4030</v>
      </c>
      <c r="D1678" s="74">
        <v>0.21775757575757576</v>
      </c>
      <c r="E1678" s="74">
        <v>36.499739999999996</v>
      </c>
      <c r="F1678" s="74">
        <v>0</v>
      </c>
      <c r="G1678" s="74">
        <v>0</v>
      </c>
      <c r="H1678" s="74">
        <v>0</v>
      </c>
      <c r="I1678" s="74"/>
      <c r="J1678" s="74">
        <v>0.17591780099230367</v>
      </c>
      <c r="K1678" s="74">
        <v>29.48670775403524</v>
      </c>
      <c r="L1678" s="74">
        <v>0</v>
      </c>
      <c r="M1678" s="74">
        <v>0</v>
      </c>
      <c r="N1678" s="74">
        <v>0</v>
      </c>
    </row>
    <row r="1679" spans="1:14" x14ac:dyDescent="0.25">
      <c r="A1679" t="e">
        <f>VLOOKUP(VALUE(RIGHT(B1679,4)),'Waste Lookups'!$B$1:$C$295,2,FALSE)</f>
        <v>#N/A</v>
      </c>
      <c r="B1679" s="74" t="s">
        <v>4031</v>
      </c>
      <c r="C1679" s="74" t="s">
        <v>4032</v>
      </c>
      <c r="D1679" s="74">
        <v>18.28136363636364</v>
      </c>
      <c r="E1679" s="74">
        <v>8.2736999999999981</v>
      </c>
      <c r="F1679" s="74">
        <v>1.8995636363636366</v>
      </c>
      <c r="G1679" s="74">
        <v>0</v>
      </c>
      <c r="H1679" s="74">
        <v>0</v>
      </c>
      <c r="I1679" s="74"/>
      <c r="J1679" s="74">
        <v>19.388830475985507</v>
      </c>
      <c r="K1679" s="74">
        <v>8.7749125229407685</v>
      </c>
      <c r="L1679" s="74">
        <v>2.0146373135175533</v>
      </c>
      <c r="M1679" s="74">
        <v>0</v>
      </c>
      <c r="N1679" s="74">
        <v>0</v>
      </c>
    </row>
    <row r="1680" spans="1:14" x14ac:dyDescent="0.25">
      <c r="A1680" t="e">
        <f>VLOOKUP(VALUE(RIGHT(B1680,4)),'Waste Lookups'!$B$1:$C$295,2,FALSE)</f>
        <v>#N/A</v>
      </c>
      <c r="B1680" s="74" t="s">
        <v>4033</v>
      </c>
      <c r="C1680" s="74" t="s">
        <v>4034</v>
      </c>
      <c r="D1680" s="74">
        <v>5.0654545454545454</v>
      </c>
      <c r="E1680" s="74">
        <v>24.437879999999996</v>
      </c>
      <c r="F1680" s="74">
        <v>0</v>
      </c>
      <c r="G1680" s="74">
        <v>0</v>
      </c>
      <c r="H1680" s="74">
        <v>0</v>
      </c>
      <c r="I1680" s="74"/>
      <c r="J1680" s="74">
        <v>4.4141888934148943</v>
      </c>
      <c r="K1680" s="74">
        <v>21.295900991038511</v>
      </c>
      <c r="L1680" s="74">
        <v>0</v>
      </c>
      <c r="M1680" s="74">
        <v>0</v>
      </c>
      <c r="N1680" s="74">
        <v>0</v>
      </c>
    </row>
    <row r="1681" spans="1:14" x14ac:dyDescent="0.25">
      <c r="A1681" t="e">
        <f>VLOOKUP(VALUE(RIGHT(B1681,4)),'Waste Lookups'!$B$1:$C$295,2,FALSE)</f>
        <v>#N/A</v>
      </c>
      <c r="B1681" s="74" t="s">
        <v>4035</v>
      </c>
      <c r="C1681" s="74" t="s">
        <v>4036</v>
      </c>
      <c r="D1681" s="74">
        <v>3.6074242424242429</v>
      </c>
      <c r="E1681" s="74">
        <v>12.42474</v>
      </c>
      <c r="F1681" s="74">
        <v>0</v>
      </c>
      <c r="G1681" s="74">
        <v>0</v>
      </c>
      <c r="H1681" s="74">
        <v>0</v>
      </c>
      <c r="I1681" s="74"/>
      <c r="J1681" s="74">
        <v>3.9102506225477969</v>
      </c>
      <c r="K1681" s="74">
        <v>13.46773876735536</v>
      </c>
      <c r="L1681" s="74">
        <v>0</v>
      </c>
      <c r="M1681" s="74">
        <v>0</v>
      </c>
      <c r="N1681" s="74">
        <v>0</v>
      </c>
    </row>
    <row r="1682" spans="1:14" x14ac:dyDescent="0.25">
      <c r="A1682" t="e">
        <f>VLOOKUP(VALUE(RIGHT(B1682,4)),'Waste Lookups'!$B$1:$C$295,2,FALSE)</f>
        <v>#N/A</v>
      </c>
      <c r="B1682" s="74" t="s">
        <v>4037</v>
      </c>
      <c r="C1682" s="74" t="s">
        <v>4038</v>
      </c>
      <c r="D1682" s="74">
        <v>0</v>
      </c>
      <c r="E1682" s="74">
        <v>4.4789999999999992</v>
      </c>
      <c r="F1682" s="74">
        <v>0</v>
      </c>
      <c r="G1682" s="74">
        <v>0</v>
      </c>
      <c r="H1682" s="74">
        <v>0</v>
      </c>
      <c r="I1682" s="74"/>
      <c r="J1682" s="74">
        <v>0</v>
      </c>
      <c r="K1682" s="74">
        <v>4.3516000000000004</v>
      </c>
      <c r="L1682" s="74">
        <v>0</v>
      </c>
      <c r="M1682" s="74">
        <v>0</v>
      </c>
      <c r="N1682" s="74">
        <v>0</v>
      </c>
    </row>
    <row r="1683" spans="1:14" x14ac:dyDescent="0.25">
      <c r="A1683" t="e">
        <f>VLOOKUP(VALUE(RIGHT(B1683,4)),'Waste Lookups'!$B$1:$C$295,2,FALSE)</f>
        <v>#N/A</v>
      </c>
      <c r="B1683" s="74" t="s">
        <v>4039</v>
      </c>
      <c r="C1683" s="74" t="s">
        <v>4040</v>
      </c>
      <c r="D1683" s="74">
        <v>8.3869393939393948</v>
      </c>
      <c r="E1683" s="74">
        <v>6.8365799999999997</v>
      </c>
      <c r="F1683" s="74">
        <v>0</v>
      </c>
      <c r="G1683" s="74">
        <v>0</v>
      </c>
      <c r="H1683" s="74">
        <v>0</v>
      </c>
      <c r="I1683" s="74"/>
      <c r="J1683" s="74">
        <v>9.9081211204018445</v>
      </c>
      <c r="K1683" s="74">
        <v>8.0765651816043533</v>
      </c>
      <c r="L1683" s="74">
        <v>0</v>
      </c>
      <c r="M1683" s="74">
        <v>0</v>
      </c>
      <c r="N1683" s="74">
        <v>0</v>
      </c>
    </row>
    <row r="1684" spans="1:14" x14ac:dyDescent="0.25">
      <c r="A1684" t="e">
        <f>VLOOKUP(VALUE(RIGHT(B1684,4)),'Waste Lookups'!$B$1:$C$295,2,FALSE)</f>
        <v>#N/A</v>
      </c>
      <c r="B1684" s="74" t="s">
        <v>4041</v>
      </c>
      <c r="C1684" s="74" t="s">
        <v>4042</v>
      </c>
      <c r="D1684" s="74">
        <v>2.4998787878787878</v>
      </c>
      <c r="E1684" s="74">
        <v>6.8966400000000005</v>
      </c>
      <c r="F1684" s="74">
        <v>0</v>
      </c>
      <c r="G1684" s="74">
        <v>0</v>
      </c>
      <c r="H1684" s="74">
        <v>0</v>
      </c>
      <c r="I1684" s="74"/>
      <c r="J1684" s="74">
        <v>4.6487101386637848</v>
      </c>
      <c r="K1684" s="74">
        <v>12.824813925445703</v>
      </c>
      <c r="L1684" s="74">
        <v>0</v>
      </c>
      <c r="M1684" s="74">
        <v>0</v>
      </c>
      <c r="N1684" s="74">
        <v>0</v>
      </c>
    </row>
    <row r="1685" spans="1:14" x14ac:dyDescent="0.25">
      <c r="A1685" t="e">
        <f>VLOOKUP(VALUE(RIGHT(B1685,4)),'Waste Lookups'!$B$1:$C$295,2,FALSE)</f>
        <v>#N/A</v>
      </c>
      <c r="B1685" s="74" t="s">
        <v>4043</v>
      </c>
      <c r="C1685" s="74" t="s">
        <v>4044</v>
      </c>
      <c r="D1685" s="74">
        <v>0</v>
      </c>
      <c r="E1685" s="74">
        <v>7.4246400000000001</v>
      </c>
      <c r="F1685" s="74">
        <v>0</v>
      </c>
      <c r="G1685" s="74">
        <v>0</v>
      </c>
      <c r="H1685" s="74">
        <v>0</v>
      </c>
      <c r="I1685" s="74"/>
      <c r="J1685" s="74">
        <v>0</v>
      </c>
      <c r="K1685" s="74">
        <v>0</v>
      </c>
      <c r="L1685" s="74">
        <v>0</v>
      </c>
      <c r="M1685" s="74">
        <v>0</v>
      </c>
      <c r="N1685" s="74">
        <v>0</v>
      </c>
    </row>
    <row r="1686" spans="1:14" x14ac:dyDescent="0.25">
      <c r="A1686" t="e">
        <f>VLOOKUP(VALUE(RIGHT(B1686,4)),'Waste Lookups'!$B$1:$C$295,2,FALSE)</f>
        <v>#N/A</v>
      </c>
      <c r="B1686" s="74" t="s">
        <v>4045</v>
      </c>
      <c r="C1686" s="74" t="s">
        <v>4046</v>
      </c>
      <c r="D1686" s="74">
        <v>67.155393939393932</v>
      </c>
      <c r="E1686" s="74">
        <v>123.17586000000001</v>
      </c>
      <c r="F1686" s="74">
        <v>0</v>
      </c>
      <c r="G1686" s="74">
        <v>0</v>
      </c>
      <c r="H1686" s="74">
        <v>0</v>
      </c>
      <c r="I1686" s="74"/>
      <c r="J1686" s="74">
        <v>53.107763273254257</v>
      </c>
      <c r="K1686" s="74">
        <v>97.409813718956556</v>
      </c>
      <c r="L1686" s="74">
        <v>0</v>
      </c>
      <c r="M1686" s="74">
        <v>0</v>
      </c>
      <c r="N1686" s="74">
        <v>0</v>
      </c>
    </row>
    <row r="1687" spans="1:14" x14ac:dyDescent="0.25">
      <c r="A1687" t="e">
        <f>VLOOKUP(VALUE(RIGHT(B1687,4)),'Waste Lookups'!$B$1:$C$295,2,FALSE)</f>
        <v>#N/A</v>
      </c>
      <c r="B1687" s="74" t="s">
        <v>4047</v>
      </c>
      <c r="C1687" s="74" t="s">
        <v>4048</v>
      </c>
      <c r="D1687" s="74">
        <v>3.8502121212121212</v>
      </c>
      <c r="E1687" s="74">
        <v>0</v>
      </c>
      <c r="F1687" s="74">
        <v>0</v>
      </c>
      <c r="G1687" s="74">
        <v>0</v>
      </c>
      <c r="H1687" s="74">
        <v>0</v>
      </c>
      <c r="I1687" s="74"/>
      <c r="J1687" s="74">
        <v>6.990388888888889</v>
      </c>
      <c r="K1687" s="74">
        <v>0</v>
      </c>
      <c r="L1687" s="74">
        <v>0</v>
      </c>
      <c r="M1687" s="74">
        <v>0</v>
      </c>
      <c r="N1687" s="74">
        <v>0</v>
      </c>
    </row>
    <row r="1688" spans="1:14" x14ac:dyDescent="0.25">
      <c r="A1688" t="e">
        <f>VLOOKUP(VALUE(RIGHT(B1688,4)),'Waste Lookups'!$B$1:$C$295,2,FALSE)</f>
        <v>#N/A</v>
      </c>
      <c r="B1688" s="74" t="s">
        <v>4049</v>
      </c>
      <c r="C1688" s="74" t="s">
        <v>4050</v>
      </c>
      <c r="D1688" s="74">
        <v>42.36872727272727</v>
      </c>
      <c r="E1688" s="74">
        <v>21.06174</v>
      </c>
      <c r="F1688" s="74">
        <v>0</v>
      </c>
      <c r="G1688" s="74">
        <v>2.6283600000000003</v>
      </c>
      <c r="H1688" s="74">
        <v>0</v>
      </c>
      <c r="I1688" s="74"/>
      <c r="J1688" s="74">
        <v>43.036406404404858</v>
      </c>
      <c r="K1688" s="74">
        <v>21.393647167857534</v>
      </c>
      <c r="L1688" s="74">
        <v>0</v>
      </c>
      <c r="M1688" s="74">
        <v>2.6697797271312829</v>
      </c>
      <c r="N1688" s="74">
        <v>0</v>
      </c>
    </row>
    <row r="1689" spans="1:14" x14ac:dyDescent="0.25">
      <c r="A1689" t="e">
        <f>VLOOKUP(VALUE(RIGHT(B1689,4)),'Waste Lookups'!$B$1:$C$295,2,FALSE)</f>
        <v>#N/A</v>
      </c>
      <c r="B1689" s="74" t="s">
        <v>4051</v>
      </c>
      <c r="C1689" s="74" t="s">
        <v>4052</v>
      </c>
      <c r="D1689" s="74">
        <v>0</v>
      </c>
      <c r="E1689" s="74">
        <v>0.33804000000000001</v>
      </c>
      <c r="F1689" s="74">
        <v>0</v>
      </c>
      <c r="G1689" s="74">
        <v>0</v>
      </c>
      <c r="H1689" s="74">
        <v>0</v>
      </c>
      <c r="I1689" s="74"/>
      <c r="J1689" s="74">
        <v>0</v>
      </c>
      <c r="K1689" s="74">
        <v>7.8772099999999998</v>
      </c>
      <c r="L1689" s="74">
        <v>0</v>
      </c>
      <c r="M1689" s="74">
        <v>0</v>
      </c>
      <c r="N1689" s="74">
        <v>0</v>
      </c>
    </row>
    <row r="1690" spans="1:14" x14ac:dyDescent="0.25">
      <c r="A1690" t="e">
        <f>VLOOKUP(VALUE(RIGHT(B1690,4)),'Waste Lookups'!$B$1:$C$295,2,FALSE)</f>
        <v>#N/A</v>
      </c>
      <c r="B1690" s="74" t="s">
        <v>4053</v>
      </c>
      <c r="C1690" s="74" t="s">
        <v>4054</v>
      </c>
      <c r="D1690" s="74">
        <v>12.506060606060606</v>
      </c>
      <c r="E1690" s="74">
        <v>58.432079999999999</v>
      </c>
      <c r="F1690" s="74">
        <v>0</v>
      </c>
      <c r="G1690" s="74">
        <v>0</v>
      </c>
      <c r="H1690" s="74">
        <v>0</v>
      </c>
      <c r="I1690" s="74"/>
      <c r="J1690" s="74">
        <v>11.555182111515627</v>
      </c>
      <c r="K1690" s="74">
        <v>53.989289419199061</v>
      </c>
      <c r="L1690" s="74">
        <v>0</v>
      </c>
      <c r="M1690" s="74">
        <v>0</v>
      </c>
      <c r="N1690" s="74">
        <v>0</v>
      </c>
    </row>
    <row r="1691" spans="1:14" x14ac:dyDescent="0.25">
      <c r="A1691" t="e">
        <f>VLOOKUP(VALUE(RIGHT(B1691,4)),'Waste Lookups'!$B$1:$C$295,2,FALSE)</f>
        <v>#N/A</v>
      </c>
      <c r="B1691" s="74" t="s">
        <v>4055</v>
      </c>
      <c r="C1691" s="74" t="s">
        <v>4056</v>
      </c>
      <c r="D1691" s="74">
        <v>0</v>
      </c>
      <c r="E1691" s="74">
        <v>12.325319999999998</v>
      </c>
      <c r="F1691" s="74">
        <v>0</v>
      </c>
      <c r="G1691" s="74">
        <v>0</v>
      </c>
      <c r="H1691" s="74">
        <v>0</v>
      </c>
      <c r="I1691" s="74"/>
      <c r="J1691" s="74">
        <v>0</v>
      </c>
      <c r="K1691" s="74">
        <v>8.7099650000000004</v>
      </c>
      <c r="L1691" s="74">
        <v>0</v>
      </c>
      <c r="M1691" s="74">
        <v>0</v>
      </c>
      <c r="N1691" s="74">
        <v>0</v>
      </c>
    </row>
    <row r="1692" spans="1:14" x14ac:dyDescent="0.25">
      <c r="A1692" t="e">
        <f>VLOOKUP(VALUE(RIGHT(B1692,4)),'Waste Lookups'!$B$1:$C$295,2,FALSE)</f>
        <v>#N/A</v>
      </c>
      <c r="B1692" s="74" t="s">
        <v>4057</v>
      </c>
      <c r="C1692" s="74" t="s">
        <v>4058</v>
      </c>
      <c r="D1692" s="74">
        <v>7.8672121212121215</v>
      </c>
      <c r="E1692" s="74">
        <v>15.368699999999999</v>
      </c>
      <c r="F1692" s="74">
        <v>0</v>
      </c>
      <c r="G1692" s="74">
        <v>7.1231400000000002</v>
      </c>
      <c r="H1692" s="74">
        <v>0</v>
      </c>
      <c r="I1692" s="74"/>
      <c r="J1692" s="74">
        <v>7.2990001143031957</v>
      </c>
      <c r="K1692" s="74">
        <v>14.258690540990301</v>
      </c>
      <c r="L1692" s="74">
        <v>0</v>
      </c>
      <c r="M1692" s="74">
        <v>6.6086688490340535</v>
      </c>
      <c r="N1692" s="74">
        <v>0</v>
      </c>
    </row>
    <row r="1693" spans="1:14" x14ac:dyDescent="0.25">
      <c r="A1693" t="e">
        <f>VLOOKUP(VALUE(RIGHT(B1693,4)),'Waste Lookups'!$B$1:$C$295,2,FALSE)</f>
        <v>#N/A</v>
      </c>
      <c r="B1693" s="74" t="s">
        <v>4059</v>
      </c>
      <c r="C1693" s="74" t="s">
        <v>4060</v>
      </c>
      <c r="D1693" s="74">
        <v>7.8145757575757573</v>
      </c>
      <c r="E1693" s="74">
        <v>0</v>
      </c>
      <c r="F1693" s="74">
        <v>0</v>
      </c>
      <c r="G1693" s="74">
        <v>0</v>
      </c>
      <c r="H1693" s="74">
        <v>0</v>
      </c>
      <c r="I1693" s="74"/>
      <c r="J1693" s="74">
        <v>3.3256666666666668</v>
      </c>
      <c r="K1693" s="74">
        <v>0</v>
      </c>
      <c r="L1693" s="74">
        <v>0</v>
      </c>
      <c r="M1693" s="74">
        <v>0</v>
      </c>
      <c r="N1693" s="74">
        <v>0</v>
      </c>
    </row>
    <row r="1694" spans="1:14" x14ac:dyDescent="0.25">
      <c r="A1694" t="e">
        <f>VLOOKUP(VALUE(RIGHT(B1694,4)),'Waste Lookups'!$B$1:$C$295,2,FALSE)</f>
        <v>#N/A</v>
      </c>
      <c r="B1694" s="74" t="s">
        <v>4061</v>
      </c>
      <c r="C1694" s="74" t="s">
        <v>4062</v>
      </c>
      <c r="D1694" s="74">
        <v>19.289878787878788</v>
      </c>
      <c r="E1694" s="74">
        <v>66.251220000000004</v>
      </c>
      <c r="F1694" s="74">
        <v>0</v>
      </c>
      <c r="G1694" s="74">
        <v>2.0844</v>
      </c>
      <c r="H1694" s="74">
        <v>0</v>
      </c>
      <c r="I1694" s="74"/>
      <c r="J1694" s="74">
        <v>23.364830636992231</v>
      </c>
      <c r="K1694" s="74">
        <v>80.246669863306749</v>
      </c>
      <c r="L1694" s="74">
        <v>0</v>
      </c>
      <c r="M1694" s="74">
        <v>2.5247257131729279</v>
      </c>
      <c r="N1694" s="74">
        <v>0</v>
      </c>
    </row>
    <row r="1695" spans="1:14" x14ac:dyDescent="0.25">
      <c r="A1695" t="e">
        <f>VLOOKUP(VALUE(RIGHT(B1695,4)),'Waste Lookups'!$B$1:$C$295,2,FALSE)</f>
        <v>#N/A</v>
      </c>
      <c r="B1695" s="74" t="s">
        <v>4063</v>
      </c>
      <c r="C1695" s="74" t="s">
        <v>4064</v>
      </c>
      <c r="D1695" s="74">
        <v>0</v>
      </c>
      <c r="E1695" s="74">
        <v>9.4386600000000005</v>
      </c>
      <c r="F1695" s="74">
        <v>0</v>
      </c>
      <c r="G1695" s="74">
        <v>0</v>
      </c>
      <c r="H1695" s="74">
        <v>0</v>
      </c>
      <c r="I1695" s="74"/>
      <c r="J1695" s="74">
        <v>0</v>
      </c>
      <c r="K1695" s="74">
        <v>7.9393049999999992</v>
      </c>
      <c r="L1695" s="74">
        <v>0</v>
      </c>
      <c r="M1695" s="74">
        <v>0</v>
      </c>
      <c r="N1695" s="74">
        <v>0</v>
      </c>
    </row>
    <row r="1696" spans="1:14" x14ac:dyDescent="0.25">
      <c r="A1696" t="e">
        <f>VLOOKUP(VALUE(RIGHT(B1696,4)),'Waste Lookups'!$B$1:$C$295,2,FALSE)</f>
        <v>#N/A</v>
      </c>
      <c r="B1696" s="74" t="s">
        <v>4065</v>
      </c>
      <c r="C1696" s="74" t="s">
        <v>4066</v>
      </c>
      <c r="D1696" s="74">
        <v>0</v>
      </c>
      <c r="E1696" s="74">
        <v>8.0784600000000015</v>
      </c>
      <c r="F1696" s="74">
        <v>0</v>
      </c>
      <c r="G1696" s="74">
        <v>0</v>
      </c>
      <c r="H1696" s="74">
        <v>0</v>
      </c>
      <c r="I1696" s="74"/>
      <c r="J1696" s="74">
        <v>0</v>
      </c>
      <c r="K1696" s="74">
        <v>5.4418099999999994</v>
      </c>
      <c r="L1696" s="74">
        <v>0</v>
      </c>
      <c r="M1696" s="74">
        <v>0</v>
      </c>
      <c r="N1696" s="74">
        <v>0</v>
      </c>
    </row>
    <row r="1697" spans="1:14" x14ac:dyDescent="0.25">
      <c r="A1697" t="e">
        <f>VLOOKUP(VALUE(RIGHT(B1697,4)),'Waste Lookups'!$B$1:$C$295,2,FALSE)</f>
        <v>#N/A</v>
      </c>
      <c r="B1697" s="74" t="s">
        <v>4067</v>
      </c>
      <c r="C1697" s="74" t="s">
        <v>4068</v>
      </c>
      <c r="D1697" s="74">
        <v>4.3002424242424242</v>
      </c>
      <c r="E1697" s="74">
        <v>0</v>
      </c>
      <c r="F1697" s="74">
        <v>0</v>
      </c>
      <c r="G1697" s="74">
        <v>0</v>
      </c>
      <c r="H1697" s="74">
        <v>0</v>
      </c>
      <c r="I1697" s="74"/>
      <c r="J1697" s="74">
        <v>2.0310000000000001</v>
      </c>
      <c r="K1697" s="74">
        <v>0</v>
      </c>
      <c r="L1697" s="74">
        <v>0</v>
      </c>
      <c r="M1697" s="74">
        <v>0</v>
      </c>
      <c r="N1697" s="74">
        <v>0</v>
      </c>
    </row>
    <row r="1698" spans="1:14" x14ac:dyDescent="0.25">
      <c r="A1698" t="e">
        <f>VLOOKUP(VALUE(RIGHT(B1698,4)),'Waste Lookups'!$B$1:$C$295,2,FALSE)</f>
        <v>#N/A</v>
      </c>
      <c r="B1698" s="74" t="s">
        <v>4069</v>
      </c>
      <c r="C1698" s="74" t="s">
        <v>4070</v>
      </c>
      <c r="D1698" s="74">
        <v>12.587636363636365</v>
      </c>
      <c r="E1698" s="74">
        <v>13.044239999999999</v>
      </c>
      <c r="F1698" s="74">
        <v>0.98770909090909098</v>
      </c>
      <c r="G1698" s="74">
        <v>0</v>
      </c>
      <c r="H1698" s="74">
        <v>0</v>
      </c>
      <c r="I1698" s="74"/>
      <c r="J1698" s="74">
        <v>14.485651402957272</v>
      </c>
      <c r="K1698" s="74">
        <v>15.011103593870063</v>
      </c>
      <c r="L1698" s="74">
        <v>1.1366398873559203</v>
      </c>
      <c r="M1698" s="74">
        <v>0</v>
      </c>
      <c r="N1698" s="74">
        <v>0</v>
      </c>
    </row>
    <row r="1699" spans="1:14" x14ac:dyDescent="0.25">
      <c r="A1699" t="e">
        <f>VLOOKUP(VALUE(RIGHT(B1699,4)),'Waste Lookups'!$B$1:$C$295,2,FALSE)</f>
        <v>#N/A</v>
      </c>
      <c r="B1699" s="74" t="s">
        <v>4071</v>
      </c>
      <c r="C1699" s="74" t="s">
        <v>4072</v>
      </c>
      <c r="D1699" s="74">
        <v>9.7407878787878808</v>
      </c>
      <c r="E1699" s="74">
        <v>16.391159999999999</v>
      </c>
      <c r="F1699" s="74">
        <v>0.99150909090909112</v>
      </c>
      <c r="G1699" s="74">
        <v>0</v>
      </c>
      <c r="H1699" s="74">
        <v>0</v>
      </c>
      <c r="I1699" s="74"/>
      <c r="J1699" s="74">
        <v>9.6683832537011227</v>
      </c>
      <c r="K1699" s="74">
        <v>16.269322238075063</v>
      </c>
      <c r="L1699" s="74">
        <v>0.98413906654445837</v>
      </c>
      <c r="M1699" s="74">
        <v>0</v>
      </c>
      <c r="N1699" s="74">
        <v>0</v>
      </c>
    </row>
    <row r="1700" spans="1:14" x14ac:dyDescent="0.25">
      <c r="A1700" t="e">
        <f>VLOOKUP(VALUE(RIGHT(B1700,4)),'Waste Lookups'!$B$1:$C$295,2,FALSE)</f>
        <v>#N/A</v>
      </c>
      <c r="B1700" s="74" t="s">
        <v>4073</v>
      </c>
      <c r="C1700" s="74" t="s">
        <v>4074</v>
      </c>
      <c r="D1700" s="74">
        <v>4.7915151515151519</v>
      </c>
      <c r="E1700" s="74">
        <v>8.2835999999999981</v>
      </c>
      <c r="F1700" s="74">
        <v>0</v>
      </c>
      <c r="G1700" s="74">
        <v>0</v>
      </c>
      <c r="H1700" s="74">
        <v>0</v>
      </c>
      <c r="I1700" s="74"/>
      <c r="J1700" s="74">
        <v>6.1897589641434267</v>
      </c>
      <c r="K1700" s="74">
        <v>10.700892250996016</v>
      </c>
      <c r="L1700" s="74">
        <v>0</v>
      </c>
      <c r="M1700" s="74">
        <v>0</v>
      </c>
      <c r="N1700" s="74">
        <v>0</v>
      </c>
    </row>
    <row r="1701" spans="1:14" x14ac:dyDescent="0.25">
      <c r="A1701" t="e">
        <f>VLOOKUP(VALUE(RIGHT(B1701,4)),'Waste Lookups'!$B$1:$C$295,2,FALSE)</f>
        <v>#N/A</v>
      </c>
      <c r="B1701" s="74" t="s">
        <v>4075</v>
      </c>
      <c r="C1701" s="74" t="s">
        <v>4076</v>
      </c>
      <c r="D1701" s="74">
        <v>19.588090909090909</v>
      </c>
      <c r="E1701" s="74">
        <v>12.99816</v>
      </c>
      <c r="F1701" s="74">
        <v>1.2828727272727274</v>
      </c>
      <c r="G1701" s="74">
        <v>0</v>
      </c>
      <c r="H1701" s="74">
        <v>0</v>
      </c>
      <c r="I1701" s="74"/>
      <c r="J1701" s="74">
        <v>19.772748402422447</v>
      </c>
      <c r="K1701" s="74">
        <v>13.120694026141789</v>
      </c>
      <c r="L1701" s="74">
        <v>1.2949664051702316</v>
      </c>
      <c r="M1701" s="74">
        <v>0</v>
      </c>
      <c r="N1701" s="74">
        <v>0</v>
      </c>
    </row>
    <row r="1702" spans="1:14" x14ac:dyDescent="0.25">
      <c r="A1702" t="e">
        <f>VLOOKUP(VALUE(RIGHT(B1702,4)),'Waste Lookups'!$B$1:$C$295,2,FALSE)</f>
        <v>#N/A</v>
      </c>
      <c r="B1702" s="74" t="s">
        <v>4077</v>
      </c>
      <c r="C1702" s="74" t="s">
        <v>4078</v>
      </c>
      <c r="D1702" s="74">
        <v>6.1897575757575751</v>
      </c>
      <c r="E1702" s="74">
        <v>18.888120000000001</v>
      </c>
      <c r="F1702" s="74">
        <v>0.68190909090909091</v>
      </c>
      <c r="G1702" s="74">
        <v>0</v>
      </c>
      <c r="H1702" s="74">
        <v>0</v>
      </c>
      <c r="I1702" s="74"/>
      <c r="J1702" s="74">
        <v>9.410892505291848</v>
      </c>
      <c r="K1702" s="74">
        <v>28.717452141136143</v>
      </c>
      <c r="L1702" s="74">
        <v>1.0367729389048497</v>
      </c>
      <c r="M1702" s="74">
        <v>0</v>
      </c>
      <c r="N1702" s="74">
        <v>0</v>
      </c>
    </row>
    <row r="1703" spans="1:14" x14ac:dyDescent="0.25">
      <c r="A1703" t="e">
        <f>VLOOKUP(VALUE(RIGHT(B1703,4)),'Waste Lookups'!$B$1:$C$295,2,FALSE)</f>
        <v>#N/A</v>
      </c>
      <c r="B1703" s="74" t="s">
        <v>4079</v>
      </c>
      <c r="C1703" s="74" t="s">
        <v>4080</v>
      </c>
      <c r="D1703" s="74">
        <v>5.346606060606061</v>
      </c>
      <c r="E1703" s="74">
        <v>0</v>
      </c>
      <c r="F1703" s="74">
        <v>0</v>
      </c>
      <c r="G1703" s="74">
        <v>0</v>
      </c>
      <c r="H1703" s="74">
        <v>0</v>
      </c>
      <c r="I1703" s="74"/>
      <c r="J1703" s="74">
        <v>2.3886666666666665</v>
      </c>
      <c r="K1703" s="74">
        <v>0</v>
      </c>
      <c r="L1703" s="74">
        <v>0</v>
      </c>
      <c r="M1703" s="74">
        <v>0</v>
      </c>
      <c r="N1703" s="74">
        <v>0</v>
      </c>
    </row>
    <row r="1704" spans="1:14" x14ac:dyDescent="0.25">
      <c r="A1704" t="e">
        <f>VLOOKUP(VALUE(RIGHT(B1704,4)),'Waste Lookups'!$B$1:$C$295,2,FALSE)</f>
        <v>#N/A</v>
      </c>
      <c r="B1704" s="74" t="s">
        <v>4081</v>
      </c>
      <c r="C1704" s="74" t="s">
        <v>4082</v>
      </c>
      <c r="D1704" s="74">
        <v>20.947454545454544</v>
      </c>
      <c r="E1704" s="74">
        <v>25.931699999999999</v>
      </c>
      <c r="F1704" s="74">
        <v>1.6332181818181819</v>
      </c>
      <c r="G1704" s="74">
        <v>0</v>
      </c>
      <c r="H1704" s="74">
        <v>0</v>
      </c>
      <c r="I1704" s="74"/>
      <c r="J1704" s="74">
        <v>20.755356620329767</v>
      </c>
      <c r="K1704" s="74">
        <v>25.693894220106852</v>
      </c>
      <c r="L1704" s="74">
        <v>1.6182408095879408</v>
      </c>
      <c r="M1704" s="74">
        <v>0</v>
      </c>
      <c r="N1704" s="74">
        <v>0</v>
      </c>
    </row>
    <row r="1705" spans="1:14" x14ac:dyDescent="0.25">
      <c r="A1705" t="e">
        <f>VLOOKUP(VALUE(RIGHT(B1705,4)),'Waste Lookups'!$B$1:$C$295,2,FALSE)</f>
        <v>#N/A</v>
      </c>
      <c r="B1705" s="74" t="s">
        <v>4083</v>
      </c>
      <c r="C1705" s="74" t="s">
        <v>4084</v>
      </c>
      <c r="D1705" s="74">
        <v>7.470424242424242</v>
      </c>
      <c r="E1705" s="74">
        <v>5.9770799999999999</v>
      </c>
      <c r="F1705" s="74">
        <v>0</v>
      </c>
      <c r="G1705" s="74">
        <v>0</v>
      </c>
      <c r="H1705" s="74">
        <v>0</v>
      </c>
      <c r="I1705" s="74"/>
      <c r="J1705" s="74">
        <v>6.3679815425782218</v>
      </c>
      <c r="K1705" s="74">
        <v>5.0950165456951186</v>
      </c>
      <c r="L1705" s="74">
        <v>0</v>
      </c>
      <c r="M1705" s="74">
        <v>0</v>
      </c>
      <c r="N1705" s="74">
        <v>0</v>
      </c>
    </row>
    <row r="1706" spans="1:14" x14ac:dyDescent="0.25">
      <c r="A1706" t="e">
        <f>VLOOKUP(VALUE(RIGHT(B1706,4)),'Waste Lookups'!$B$1:$C$295,2,FALSE)</f>
        <v>#N/A</v>
      </c>
      <c r="B1706" s="74" t="s">
        <v>4085</v>
      </c>
      <c r="C1706" s="74" t="s">
        <v>4086</v>
      </c>
      <c r="D1706" s="74">
        <v>53.934121212121205</v>
      </c>
      <c r="E1706" s="74">
        <v>31.027259999999998</v>
      </c>
      <c r="F1706" s="74">
        <v>0</v>
      </c>
      <c r="G1706" s="74">
        <v>0</v>
      </c>
      <c r="H1706" s="74">
        <v>0</v>
      </c>
      <c r="I1706" s="74"/>
      <c r="J1706" s="74">
        <v>70.914288865200447</v>
      </c>
      <c r="K1706" s="74">
        <v>40.795623046903131</v>
      </c>
      <c r="L1706" s="74">
        <v>0</v>
      </c>
      <c r="M1706" s="74">
        <v>0</v>
      </c>
      <c r="N1706" s="74">
        <v>0</v>
      </c>
    </row>
    <row r="1707" spans="1:14" x14ac:dyDescent="0.25">
      <c r="A1707" t="e">
        <f>VLOOKUP(VALUE(RIGHT(B1707,4)),'Waste Lookups'!$B$1:$C$295,2,FALSE)</f>
        <v>#N/A</v>
      </c>
      <c r="B1707" s="74" t="s">
        <v>4087</v>
      </c>
      <c r="C1707" s="74" t="s">
        <v>4088</v>
      </c>
      <c r="D1707" s="74">
        <v>7.0675151515151518</v>
      </c>
      <c r="E1707" s="74">
        <v>11.354520000000001</v>
      </c>
      <c r="F1707" s="74">
        <v>0</v>
      </c>
      <c r="G1707" s="74">
        <v>0</v>
      </c>
      <c r="H1707" s="74">
        <v>0.50356931571682106</v>
      </c>
      <c r="I1707" s="74"/>
      <c r="J1707" s="74">
        <v>7.8342784554001081</v>
      </c>
      <c r="K1707" s="74">
        <v>12.586385667434948</v>
      </c>
      <c r="L1707" s="74">
        <v>0</v>
      </c>
      <c r="M1707" s="74">
        <v>0</v>
      </c>
      <c r="N1707" s="74">
        <v>0.55820216247786969</v>
      </c>
    </row>
    <row r="1708" spans="1:14" x14ac:dyDescent="0.25">
      <c r="A1708" t="e">
        <f>VLOOKUP(VALUE(RIGHT(B1708,4)),'Waste Lookups'!$B$1:$C$295,2,FALSE)</f>
        <v>#N/A</v>
      </c>
      <c r="B1708" s="74" t="s">
        <v>4089</v>
      </c>
      <c r="C1708" s="74" t="s">
        <v>4090</v>
      </c>
      <c r="D1708" s="74">
        <v>0</v>
      </c>
      <c r="E1708" s="74">
        <v>0</v>
      </c>
      <c r="F1708" s="74">
        <v>0</v>
      </c>
      <c r="G1708" s="74">
        <v>0</v>
      </c>
      <c r="H1708" s="74">
        <v>0</v>
      </c>
      <c r="I1708" s="74"/>
      <c r="J1708" s="74">
        <v>0</v>
      </c>
      <c r="K1708" s="74">
        <v>0</v>
      </c>
      <c r="L1708" s="74">
        <v>0</v>
      </c>
      <c r="M1708" s="74">
        <v>0</v>
      </c>
      <c r="N1708" s="74">
        <v>0</v>
      </c>
    </row>
    <row r="1709" spans="1:14" x14ac:dyDescent="0.25">
      <c r="A1709" t="e">
        <f>VLOOKUP(VALUE(RIGHT(B1709,4)),'Waste Lookups'!$B$1:$C$295,2,FALSE)</f>
        <v>#N/A</v>
      </c>
      <c r="B1709" s="74" t="s">
        <v>4091</v>
      </c>
      <c r="C1709" s="74" t="s">
        <v>4092</v>
      </c>
      <c r="D1709" s="74">
        <v>19.504909090909091</v>
      </c>
      <c r="E1709" s="74">
        <v>2.0929799999999994</v>
      </c>
      <c r="F1709" s="74">
        <v>2.5367818181818182</v>
      </c>
      <c r="G1709" s="74">
        <v>0</v>
      </c>
      <c r="H1709" s="74">
        <v>0</v>
      </c>
      <c r="I1709" s="74"/>
      <c r="J1709" s="74">
        <v>21.168551858158494</v>
      </c>
      <c r="K1709" s="74">
        <v>2.2714976758716876</v>
      </c>
      <c r="L1709" s="74">
        <v>2.7531529227195457</v>
      </c>
      <c r="M1709" s="74">
        <v>0</v>
      </c>
      <c r="N1709" s="74">
        <v>0</v>
      </c>
    </row>
    <row r="1710" spans="1:14" x14ac:dyDescent="0.25">
      <c r="A1710" t="str">
        <f>VLOOKUP(VALUE(RIGHT(B1710,4)),'Waste Lookups'!$B$1:$C$295,2,FALSE)</f>
        <v>Weybridge Hospital</v>
      </c>
      <c r="B1710" s="74" t="s">
        <v>775</v>
      </c>
      <c r="C1710" s="74" t="s">
        <v>4093</v>
      </c>
      <c r="D1710" s="74">
        <v>40.632303030303035</v>
      </c>
      <c r="E1710" s="74">
        <v>41.424480000000003</v>
      </c>
      <c r="F1710" s="74">
        <v>3.464818181818182</v>
      </c>
      <c r="G1710" s="74">
        <v>0</v>
      </c>
      <c r="H1710" s="74">
        <v>0</v>
      </c>
      <c r="I1710" s="74"/>
      <c r="J1710" s="74">
        <v>46.368186731426839</v>
      </c>
      <c r="K1710" s="74">
        <v>47.272191843513404</v>
      </c>
      <c r="L1710" s="74">
        <v>3.9539313418974107</v>
      </c>
      <c r="M1710" s="74">
        <v>0</v>
      </c>
      <c r="N1710" s="74">
        <v>0</v>
      </c>
    </row>
    <row r="1711" spans="1:14" x14ac:dyDescent="0.25">
      <c r="A1711" t="e">
        <f>VLOOKUP(VALUE(RIGHT(B1711,4)),'Waste Lookups'!$B$1:$C$295,2,FALSE)</f>
        <v>#N/A</v>
      </c>
      <c r="B1711" s="74" t="s">
        <v>4094</v>
      </c>
      <c r="C1711" s="74" t="s">
        <v>4095</v>
      </c>
      <c r="D1711" s="74">
        <v>0</v>
      </c>
      <c r="E1711" s="74">
        <v>1.3602000000000001</v>
      </c>
      <c r="F1711" s="74">
        <v>0</v>
      </c>
      <c r="G1711" s="74">
        <v>0</v>
      </c>
      <c r="H1711" s="74">
        <v>0</v>
      </c>
      <c r="I1711" s="74"/>
      <c r="J1711" s="74">
        <v>0</v>
      </c>
      <c r="K1711" s="74">
        <v>2.2832699999999999</v>
      </c>
      <c r="L1711" s="74">
        <v>0</v>
      </c>
      <c r="M1711" s="74">
        <v>0</v>
      </c>
      <c r="N1711" s="74">
        <v>0</v>
      </c>
    </row>
    <row r="1712" spans="1:14" x14ac:dyDescent="0.25">
      <c r="A1712" t="e">
        <f>VLOOKUP(VALUE(RIGHT(B1712,4)),'Waste Lookups'!$B$1:$C$295,2,FALSE)</f>
        <v>#N/A</v>
      </c>
      <c r="B1712" s="74" t="s">
        <v>4096</v>
      </c>
      <c r="C1712" s="74" t="s">
        <v>4097</v>
      </c>
      <c r="D1712" s="74">
        <v>64.24381818181817</v>
      </c>
      <c r="E1712" s="74">
        <v>123.58811999999999</v>
      </c>
      <c r="F1712" s="74">
        <v>6.6662363636363642</v>
      </c>
      <c r="G1712" s="74">
        <v>7.2066600000000003</v>
      </c>
      <c r="H1712" s="74">
        <v>0</v>
      </c>
      <c r="I1712" s="74"/>
      <c r="J1712" s="74">
        <v>66.222789965305438</v>
      </c>
      <c r="K1712" s="74">
        <v>127.39513846770768</v>
      </c>
      <c r="L1712" s="74">
        <v>6.8715836490102991</v>
      </c>
      <c r="M1712" s="74">
        <v>7.4286545388803571</v>
      </c>
      <c r="N1712" s="74">
        <v>0</v>
      </c>
    </row>
    <row r="1713" spans="1:14" x14ac:dyDescent="0.25">
      <c r="A1713" t="e">
        <f>VLOOKUP(VALUE(RIGHT(B1713,4)),'Waste Lookups'!$B$1:$C$295,2,FALSE)</f>
        <v>#N/A</v>
      </c>
      <c r="B1713" s="74" t="s">
        <v>4098</v>
      </c>
      <c r="C1713" s="74" t="s">
        <v>4099</v>
      </c>
      <c r="D1713" s="74">
        <v>0</v>
      </c>
      <c r="E1713" s="74">
        <v>0</v>
      </c>
      <c r="F1713" s="74">
        <v>3.7490181818181822</v>
      </c>
      <c r="G1713" s="74">
        <v>0</v>
      </c>
      <c r="H1713" s="74">
        <v>0</v>
      </c>
      <c r="I1713" s="74"/>
      <c r="J1713" s="74">
        <v>0</v>
      </c>
      <c r="K1713" s="74">
        <v>0</v>
      </c>
      <c r="L1713" s="74">
        <v>0</v>
      </c>
      <c r="M1713" s="74">
        <v>0</v>
      </c>
      <c r="N1713" s="74">
        <v>0</v>
      </c>
    </row>
    <row r="1714" spans="1:14" x14ac:dyDescent="0.25">
      <c r="A1714" t="str">
        <f>VLOOKUP(VALUE(RIGHT(B1714,4)),'Waste Lookups'!$B$1:$C$295,2,FALSE)</f>
        <v>The Causeway</v>
      </c>
      <c r="B1714" s="74" t="s">
        <v>734</v>
      </c>
      <c r="C1714" s="74" t="s">
        <v>4100</v>
      </c>
      <c r="D1714" s="74">
        <v>0.93072727272727274</v>
      </c>
      <c r="E1714" s="74">
        <v>31.486919999999998</v>
      </c>
      <c r="F1714" s="74">
        <v>0</v>
      </c>
      <c r="G1714" s="74">
        <v>5.1390000000000002</v>
      </c>
      <c r="H1714" s="74">
        <v>18.642489449812661</v>
      </c>
      <c r="I1714" s="74"/>
      <c r="J1714" s="74">
        <v>0.95746648792356426</v>
      </c>
      <c r="K1714" s="74">
        <v>32.39151961195865</v>
      </c>
      <c r="L1714" s="74">
        <v>0</v>
      </c>
      <c r="M1714" s="74">
        <v>5.2866402711302172</v>
      </c>
      <c r="N1714" s="74">
        <v>19.17807656732824</v>
      </c>
    </row>
    <row r="1715" spans="1:14" x14ac:dyDescent="0.25">
      <c r="A1715" t="e">
        <f>VLOOKUP(VALUE(RIGHT(B1715,4)),'Waste Lookups'!$B$1:$C$295,2,FALSE)</f>
        <v>#N/A</v>
      </c>
      <c r="B1715" s="74" t="s">
        <v>4101</v>
      </c>
      <c r="C1715" s="74" t="s">
        <v>4102</v>
      </c>
      <c r="D1715" s="74">
        <v>0</v>
      </c>
      <c r="E1715" s="74">
        <v>11.902799999999999</v>
      </c>
      <c r="F1715" s="74">
        <v>1.1876727272727274</v>
      </c>
      <c r="G1715" s="74">
        <v>0</v>
      </c>
      <c r="H1715" s="74">
        <v>0</v>
      </c>
      <c r="I1715" s="74"/>
      <c r="J1715" s="74">
        <v>0</v>
      </c>
      <c r="K1715" s="74">
        <v>9.3794548774753306</v>
      </c>
      <c r="L1715" s="74">
        <v>0.93589094621959645</v>
      </c>
      <c r="M1715" s="74">
        <v>0</v>
      </c>
      <c r="N1715" s="74">
        <v>0</v>
      </c>
    </row>
    <row r="1716" spans="1:14" x14ac:dyDescent="0.25">
      <c r="A1716" t="e">
        <f>VLOOKUP(VALUE(RIGHT(B1716,4)),'Waste Lookups'!$B$1:$C$295,2,FALSE)</f>
        <v>#N/A</v>
      </c>
      <c r="B1716" s="74" t="s">
        <v>4103</v>
      </c>
      <c r="C1716" s="74" t="s">
        <v>4104</v>
      </c>
      <c r="D1716" s="74">
        <v>0</v>
      </c>
      <c r="E1716" s="74">
        <v>0</v>
      </c>
      <c r="F1716" s="74">
        <v>0</v>
      </c>
      <c r="G1716" s="74">
        <v>0</v>
      </c>
      <c r="H1716" s="74">
        <v>0</v>
      </c>
      <c r="I1716" s="74"/>
      <c r="J1716" s="74">
        <v>0</v>
      </c>
      <c r="K1716" s="74">
        <v>0</v>
      </c>
      <c r="L1716" s="74">
        <v>0</v>
      </c>
      <c r="M1716" s="74">
        <v>0</v>
      </c>
      <c r="N1716" s="74">
        <v>0</v>
      </c>
    </row>
    <row r="1717" spans="1:14" x14ac:dyDescent="0.25">
      <c r="A1717" t="e">
        <f>VLOOKUP(VALUE(RIGHT(B1717,4)),'Waste Lookups'!$B$1:$C$295,2,FALSE)</f>
        <v>#N/A</v>
      </c>
      <c r="B1717" s="74" t="s">
        <v>4105</v>
      </c>
      <c r="C1717" s="74" t="s">
        <v>4106</v>
      </c>
      <c r="D1717" s="74">
        <v>0</v>
      </c>
      <c r="E1717" s="74">
        <v>0</v>
      </c>
      <c r="F1717" s="74">
        <v>0.99272727272727279</v>
      </c>
      <c r="G1717" s="74">
        <v>0</v>
      </c>
      <c r="H1717" s="74">
        <v>0</v>
      </c>
      <c r="I1717" s="74"/>
      <c r="J1717" s="74">
        <v>0</v>
      </c>
      <c r="K1717" s="74">
        <v>0</v>
      </c>
      <c r="L1717" s="74">
        <v>0</v>
      </c>
      <c r="M1717" s="74">
        <v>0</v>
      </c>
      <c r="N1717" s="74">
        <v>0</v>
      </c>
    </row>
    <row r="1718" spans="1:14" x14ac:dyDescent="0.25">
      <c r="A1718" t="e">
        <f>VLOOKUP(VALUE(RIGHT(B1718,4)),'Waste Lookups'!$B$1:$C$295,2,FALSE)</f>
        <v>#N/A</v>
      </c>
      <c r="B1718" s="74" t="s">
        <v>4107</v>
      </c>
      <c r="C1718" s="74" t="s">
        <v>4108</v>
      </c>
      <c r="D1718" s="74">
        <v>0</v>
      </c>
      <c r="E1718" s="74">
        <v>2.0378400000000001</v>
      </c>
      <c r="F1718" s="74">
        <v>0</v>
      </c>
      <c r="G1718" s="74">
        <v>2.04264</v>
      </c>
      <c r="H1718" s="74">
        <v>0</v>
      </c>
      <c r="I1718" s="74"/>
      <c r="J1718" s="74">
        <v>0</v>
      </c>
      <c r="K1718" s="74">
        <v>3.2575947786798447</v>
      </c>
      <c r="L1718" s="74">
        <v>0</v>
      </c>
      <c r="M1718" s="74">
        <v>3.2652678319802328</v>
      </c>
      <c r="N1718" s="74">
        <v>0</v>
      </c>
    </row>
    <row r="1719" spans="1:14" x14ac:dyDescent="0.25">
      <c r="A1719" t="e">
        <f>VLOOKUP(VALUE(RIGHT(B1719,4)),'Waste Lookups'!$B$1:$C$295,2,FALSE)</f>
        <v>#N/A</v>
      </c>
      <c r="B1719" s="74" t="s">
        <v>4109</v>
      </c>
      <c r="C1719" s="74" t="s">
        <v>4110</v>
      </c>
      <c r="D1719" s="74">
        <v>2.8126060606060603</v>
      </c>
      <c r="E1719" s="74">
        <v>8.9605200000000007</v>
      </c>
      <c r="F1719" s="74">
        <v>0</v>
      </c>
      <c r="G1719" s="74">
        <v>3.12975</v>
      </c>
      <c r="H1719" s="74">
        <v>0</v>
      </c>
      <c r="I1719" s="74"/>
      <c r="J1719" s="74">
        <v>4.0427274451060562</v>
      </c>
      <c r="K1719" s="74">
        <v>12.87949302029733</v>
      </c>
      <c r="L1719" s="74">
        <v>0</v>
      </c>
      <c r="M1719" s="74">
        <v>4.4985774575890192</v>
      </c>
      <c r="N1719" s="74">
        <v>0</v>
      </c>
    </row>
    <row r="1720" spans="1:14" x14ac:dyDescent="0.25">
      <c r="A1720" t="e">
        <f>VLOOKUP(VALUE(RIGHT(B1720,4)),'Waste Lookups'!$B$1:$C$295,2,FALSE)</f>
        <v>#N/A</v>
      </c>
      <c r="B1720" s="74" t="s">
        <v>4111</v>
      </c>
      <c r="C1720" s="74" t="s">
        <v>4112</v>
      </c>
      <c r="D1720" s="74">
        <v>0.35563636363636369</v>
      </c>
      <c r="E1720" s="74">
        <v>1.2988199999999999</v>
      </c>
      <c r="F1720" s="74">
        <v>0</v>
      </c>
      <c r="G1720" s="74">
        <v>1.9778399999999996</v>
      </c>
      <c r="H1720" s="74">
        <v>0</v>
      </c>
      <c r="I1720" s="74"/>
      <c r="J1720" s="74">
        <v>0.45748001228345897</v>
      </c>
      <c r="K1720" s="74">
        <v>1.6707633141855887</v>
      </c>
      <c r="L1720" s="74">
        <v>0</v>
      </c>
      <c r="M1720" s="74">
        <v>2.5442343922397441</v>
      </c>
      <c r="N1720" s="74">
        <v>0</v>
      </c>
    </row>
    <row r="1721" spans="1:14" x14ac:dyDescent="0.25">
      <c r="A1721" t="e">
        <f>VLOOKUP(VALUE(RIGHT(B1721,4)),'Waste Lookups'!$B$1:$C$295,2,FALSE)</f>
        <v>#N/A</v>
      </c>
      <c r="B1721" s="74" t="s">
        <v>4113</v>
      </c>
      <c r="C1721" s="74" t="s">
        <v>4114</v>
      </c>
      <c r="D1721" s="74">
        <v>1.1798484848484849</v>
      </c>
      <c r="E1721" s="74">
        <v>2.7068999999999996</v>
      </c>
      <c r="F1721" s="74">
        <v>8.5090909090909078E-2</v>
      </c>
      <c r="G1721" s="74">
        <v>0.22770000000000001</v>
      </c>
      <c r="H1721" s="74">
        <v>0</v>
      </c>
      <c r="I1721" s="74"/>
      <c r="J1721" s="74">
        <v>3.1230388572333014</v>
      </c>
      <c r="K1721" s="74">
        <v>7.1651182259478396</v>
      </c>
      <c r="L1721" s="74">
        <v>0.22523418803418804</v>
      </c>
      <c r="M1721" s="74">
        <v>0.60271802432610111</v>
      </c>
      <c r="N1721" s="74">
        <v>0</v>
      </c>
    </row>
    <row r="1722" spans="1:14" x14ac:dyDescent="0.25">
      <c r="A1722" t="e">
        <f>VLOOKUP(VALUE(RIGHT(B1722,4)),'Waste Lookups'!$B$1:$C$295,2,FALSE)</f>
        <v>#N/A</v>
      </c>
      <c r="B1722" s="74" t="s">
        <v>4115</v>
      </c>
      <c r="C1722" s="74" t="s">
        <v>4116</v>
      </c>
      <c r="D1722" s="74">
        <v>0</v>
      </c>
      <c r="E1722" s="74">
        <v>1.3068600000000001</v>
      </c>
      <c r="F1722" s="74">
        <v>0</v>
      </c>
      <c r="G1722" s="74">
        <v>2.5355700000000003</v>
      </c>
      <c r="H1722" s="74">
        <v>0</v>
      </c>
      <c r="I1722" s="74"/>
      <c r="J1722" s="74">
        <v>0</v>
      </c>
      <c r="K1722" s="74">
        <v>2.4719782479881487</v>
      </c>
      <c r="L1722" s="74">
        <v>0</v>
      </c>
      <c r="M1722" s="74">
        <v>4.7961326280177756</v>
      </c>
      <c r="N1722" s="74">
        <v>0</v>
      </c>
    </row>
    <row r="1723" spans="1:14" x14ac:dyDescent="0.25">
      <c r="A1723" t="e">
        <f>VLOOKUP(VALUE(RIGHT(B1723,4)),'Waste Lookups'!$B$1:$C$295,2,FALSE)</f>
        <v>#N/A</v>
      </c>
      <c r="B1723" s="74" t="s">
        <v>4117</v>
      </c>
      <c r="C1723" s="74" t="s">
        <v>4118</v>
      </c>
      <c r="D1723" s="74">
        <v>6.6498181818181816</v>
      </c>
      <c r="E1723" s="74">
        <v>16.280339999999995</v>
      </c>
      <c r="F1723" s="74">
        <v>1.0319454545454547</v>
      </c>
      <c r="G1723" s="74">
        <v>2.7041399999999998</v>
      </c>
      <c r="H1723" s="74">
        <v>0</v>
      </c>
      <c r="I1723" s="74"/>
      <c r="J1723" s="74">
        <v>10.74426339915903</v>
      </c>
      <c r="K1723" s="74">
        <v>26.304517868793567</v>
      </c>
      <c r="L1723" s="74">
        <v>1.6673378841419291</v>
      </c>
      <c r="M1723" s="74">
        <v>4.3691408748047911</v>
      </c>
      <c r="N1723" s="74">
        <v>0</v>
      </c>
    </row>
    <row r="1724" spans="1:14" x14ac:dyDescent="0.25">
      <c r="A1724" t="e">
        <f>VLOOKUP(VALUE(RIGHT(B1724,4)),'Waste Lookups'!$B$1:$C$295,2,FALSE)</f>
        <v>#N/A</v>
      </c>
      <c r="B1724" s="74" t="s">
        <v>4119</v>
      </c>
      <c r="C1724" s="74" t="s">
        <v>4120</v>
      </c>
      <c r="D1724" s="74">
        <v>2.9209090909090909</v>
      </c>
      <c r="E1724" s="74">
        <v>1.9307399999999999</v>
      </c>
      <c r="F1724" s="74">
        <v>0</v>
      </c>
      <c r="G1724" s="74">
        <v>1.5935400000000002</v>
      </c>
      <c r="H1724" s="74">
        <v>0</v>
      </c>
      <c r="I1724" s="74"/>
      <c r="J1724" s="74">
        <v>2.7238105452059478</v>
      </c>
      <c r="K1724" s="74">
        <v>1.8004565730644335</v>
      </c>
      <c r="L1724" s="74">
        <v>0</v>
      </c>
      <c r="M1724" s="74">
        <v>1.4860103211416853</v>
      </c>
      <c r="N1724" s="74">
        <v>0</v>
      </c>
    </row>
    <row r="1725" spans="1:14" x14ac:dyDescent="0.25">
      <c r="A1725" t="e">
        <f>VLOOKUP(VALUE(RIGHT(B1725,4)),'Waste Lookups'!$B$1:$C$295,2,FALSE)</f>
        <v>#N/A</v>
      </c>
      <c r="B1725" s="74" t="s">
        <v>4121</v>
      </c>
      <c r="C1725" s="74" t="s">
        <v>4122</v>
      </c>
      <c r="D1725" s="74">
        <v>0</v>
      </c>
      <c r="E1725" s="74">
        <v>1.0981800000000002</v>
      </c>
      <c r="F1725" s="74">
        <v>0</v>
      </c>
      <c r="G1725" s="74">
        <v>0.90720000000000001</v>
      </c>
      <c r="H1725" s="74">
        <v>0</v>
      </c>
      <c r="I1725" s="74"/>
      <c r="J1725" s="74">
        <v>0</v>
      </c>
      <c r="K1725" s="74">
        <v>2.381408405031181</v>
      </c>
      <c r="L1725" s="74">
        <v>0</v>
      </c>
      <c r="M1725" s="74">
        <v>1.9672673924532293</v>
      </c>
      <c r="N1725" s="74">
        <v>0</v>
      </c>
    </row>
    <row r="1726" spans="1:14" x14ac:dyDescent="0.25">
      <c r="A1726" t="e">
        <f>VLOOKUP(VALUE(RIGHT(B1726,4)),'Waste Lookups'!$B$1:$C$295,2,FALSE)</f>
        <v>#N/A</v>
      </c>
      <c r="B1726" s="74" t="s">
        <v>4123</v>
      </c>
      <c r="C1726" s="74" t="s">
        <v>4124</v>
      </c>
      <c r="D1726" s="74">
        <v>0</v>
      </c>
      <c r="E1726" s="74">
        <v>0.47171999999999997</v>
      </c>
      <c r="F1726" s="74">
        <v>0</v>
      </c>
      <c r="G1726" s="74">
        <v>0</v>
      </c>
      <c r="H1726" s="74">
        <v>0</v>
      </c>
      <c r="I1726" s="74"/>
      <c r="J1726" s="74">
        <v>0</v>
      </c>
      <c r="K1726" s="74">
        <v>0.43241000000000002</v>
      </c>
      <c r="L1726" s="74">
        <v>0</v>
      </c>
      <c r="M1726" s="74">
        <v>0</v>
      </c>
      <c r="N1726" s="74">
        <v>0</v>
      </c>
    </row>
    <row r="1727" spans="1:14" x14ac:dyDescent="0.25">
      <c r="A1727" t="e">
        <f>VLOOKUP(VALUE(RIGHT(B1727,4)),'Waste Lookups'!$B$1:$C$295,2,FALSE)</f>
        <v>#N/A</v>
      </c>
      <c r="B1727" s="74" t="s">
        <v>4125</v>
      </c>
      <c r="C1727" s="74" t="s">
        <v>4126</v>
      </c>
      <c r="D1727" s="74">
        <v>0</v>
      </c>
      <c r="E1727" s="74">
        <v>0</v>
      </c>
      <c r="F1727" s="74">
        <v>5.4618181818181823E-2</v>
      </c>
      <c r="G1727" s="74">
        <v>0</v>
      </c>
      <c r="H1727" s="74">
        <v>0</v>
      </c>
      <c r="I1727" s="74"/>
      <c r="J1727" s="74">
        <v>0</v>
      </c>
      <c r="K1727" s="74">
        <v>0</v>
      </c>
      <c r="L1727" s="74">
        <v>0</v>
      </c>
      <c r="M1727" s="74">
        <v>0</v>
      </c>
      <c r="N1727" s="74">
        <v>0</v>
      </c>
    </row>
    <row r="1728" spans="1:14" x14ac:dyDescent="0.25">
      <c r="A1728" t="e">
        <f>VLOOKUP(VALUE(RIGHT(B1728,4)),'Waste Lookups'!$B$1:$C$295,2,FALSE)</f>
        <v>#N/A</v>
      </c>
      <c r="B1728" s="74" t="s">
        <v>4127</v>
      </c>
      <c r="C1728" s="74" t="s">
        <v>4128</v>
      </c>
      <c r="D1728" s="74">
        <v>0</v>
      </c>
      <c r="E1728" s="74">
        <v>2.8361399999999999</v>
      </c>
      <c r="F1728" s="74">
        <v>0</v>
      </c>
      <c r="G1728" s="74">
        <v>0</v>
      </c>
      <c r="H1728" s="74">
        <v>0</v>
      </c>
      <c r="I1728" s="74"/>
      <c r="J1728" s="74">
        <v>0</v>
      </c>
      <c r="K1728" s="74">
        <v>7.6754699999999989</v>
      </c>
      <c r="L1728" s="74">
        <v>0</v>
      </c>
      <c r="M1728" s="74">
        <v>0</v>
      </c>
      <c r="N1728" s="74">
        <v>0</v>
      </c>
    </row>
    <row r="1729" spans="1:14" x14ac:dyDescent="0.25">
      <c r="A1729" t="e">
        <f>VLOOKUP(VALUE(RIGHT(B1729,4)),'Waste Lookups'!$B$1:$C$295,2,FALSE)</f>
        <v>#N/A</v>
      </c>
      <c r="B1729" s="74" t="s">
        <v>4129</v>
      </c>
      <c r="C1729" s="74" t="s">
        <v>4130</v>
      </c>
      <c r="D1729" s="74">
        <v>0</v>
      </c>
      <c r="E1729" s="74">
        <v>0.99803999999999993</v>
      </c>
      <c r="F1729" s="74">
        <v>0</v>
      </c>
      <c r="G1729" s="74">
        <v>0</v>
      </c>
      <c r="H1729" s="74">
        <v>0</v>
      </c>
      <c r="I1729" s="74"/>
      <c r="J1729" s="74">
        <v>0</v>
      </c>
      <c r="K1729" s="74">
        <v>6.3003599999999995</v>
      </c>
      <c r="L1729" s="74">
        <v>0</v>
      </c>
      <c r="M1729" s="74">
        <v>0</v>
      </c>
      <c r="N1729" s="74">
        <v>0</v>
      </c>
    </row>
    <row r="1730" spans="1:14" x14ac:dyDescent="0.25">
      <c r="A1730" t="e">
        <f>VLOOKUP(VALUE(RIGHT(B1730,4)),'Waste Lookups'!$B$1:$C$295,2,FALSE)</f>
        <v>#N/A</v>
      </c>
      <c r="B1730" s="74" t="s">
        <v>4131</v>
      </c>
      <c r="C1730" s="74" t="s">
        <v>4132</v>
      </c>
      <c r="D1730" s="74">
        <v>0</v>
      </c>
      <c r="E1730" s="74">
        <v>11.76966</v>
      </c>
      <c r="F1730" s="74">
        <v>0</v>
      </c>
      <c r="G1730" s="74">
        <v>0</v>
      </c>
      <c r="H1730" s="74">
        <v>0</v>
      </c>
      <c r="I1730" s="74"/>
      <c r="J1730" s="74">
        <v>0</v>
      </c>
      <c r="K1730" s="74">
        <v>9.5912849999999992</v>
      </c>
      <c r="L1730" s="74">
        <v>0</v>
      </c>
      <c r="M1730" s="74">
        <v>0</v>
      </c>
      <c r="N1730" s="74">
        <v>0</v>
      </c>
    </row>
    <row r="1731" spans="1:14" x14ac:dyDescent="0.25">
      <c r="A1731" t="e">
        <f>VLOOKUP(VALUE(RIGHT(B1731,4)),'Waste Lookups'!$B$1:$C$295,2,FALSE)</f>
        <v>#N/A</v>
      </c>
      <c r="B1731" s="74" t="s">
        <v>4133</v>
      </c>
      <c r="C1731" s="74" t="s">
        <v>4134</v>
      </c>
      <c r="D1731" s="74">
        <v>1.307060606060606</v>
      </c>
      <c r="E1731" s="74">
        <v>0</v>
      </c>
      <c r="F1731" s="74">
        <v>0</v>
      </c>
      <c r="G1731" s="74">
        <v>0</v>
      </c>
      <c r="H1731" s="74">
        <v>0</v>
      </c>
      <c r="I1731" s="74"/>
      <c r="J1731" s="74">
        <v>2.1498055555555555</v>
      </c>
      <c r="K1731" s="74">
        <v>0</v>
      </c>
      <c r="L1731" s="74">
        <v>0</v>
      </c>
      <c r="M1731" s="74">
        <v>0</v>
      </c>
      <c r="N1731" s="74">
        <v>0</v>
      </c>
    </row>
    <row r="1732" spans="1:14" x14ac:dyDescent="0.25">
      <c r="A1732" t="e">
        <f>VLOOKUP(VALUE(RIGHT(B1732,4)),'Waste Lookups'!$B$1:$C$295,2,FALSE)</f>
        <v>#N/A</v>
      </c>
      <c r="B1732" s="74" t="s">
        <v>4135</v>
      </c>
      <c r="C1732" s="74" t="s">
        <v>4136</v>
      </c>
      <c r="D1732" s="74">
        <v>2.7605454545454546</v>
      </c>
      <c r="E1732" s="74">
        <v>7.7427000000000001</v>
      </c>
      <c r="F1732" s="74">
        <v>0</v>
      </c>
      <c r="G1732" s="74">
        <v>0</v>
      </c>
      <c r="H1732" s="74">
        <v>0</v>
      </c>
      <c r="I1732" s="74"/>
      <c r="J1732" s="74">
        <v>3.3142040446437084</v>
      </c>
      <c r="K1732" s="74">
        <v>9.2955859916054546</v>
      </c>
      <c r="L1732" s="74">
        <v>0</v>
      </c>
      <c r="M1732" s="74">
        <v>0</v>
      </c>
      <c r="N1732" s="74">
        <v>0</v>
      </c>
    </row>
    <row r="1733" spans="1:14" x14ac:dyDescent="0.25">
      <c r="A1733" t="e">
        <f>VLOOKUP(VALUE(RIGHT(B1733,4)),'Waste Lookups'!$B$1:$C$295,2,FALSE)</f>
        <v>#N/A</v>
      </c>
      <c r="B1733" s="74" t="s">
        <v>4137</v>
      </c>
      <c r="C1733" s="74" t="s">
        <v>4138</v>
      </c>
      <c r="D1733" s="74">
        <v>4.0906666666666673</v>
      </c>
      <c r="E1733" s="74">
        <v>4.48062</v>
      </c>
      <c r="F1733" s="74">
        <v>0</v>
      </c>
      <c r="G1733" s="74">
        <v>0</v>
      </c>
      <c r="H1733" s="74">
        <v>0</v>
      </c>
      <c r="I1733" s="74"/>
      <c r="J1733" s="74">
        <v>3.5671972277997965</v>
      </c>
      <c r="K1733" s="74">
        <v>3.9072494889564031</v>
      </c>
      <c r="L1733" s="74">
        <v>0</v>
      </c>
      <c r="M1733" s="74">
        <v>0</v>
      </c>
      <c r="N1733" s="74">
        <v>0</v>
      </c>
    </row>
    <row r="1734" spans="1:14" x14ac:dyDescent="0.25">
      <c r="A1734" t="e">
        <f>VLOOKUP(VALUE(RIGHT(B1734,4)),'Waste Lookups'!$B$1:$C$295,2,FALSE)</f>
        <v>#N/A</v>
      </c>
      <c r="B1734" s="74" t="s">
        <v>4139</v>
      </c>
      <c r="C1734" s="74" t="s">
        <v>4140</v>
      </c>
      <c r="D1734" s="74">
        <v>0</v>
      </c>
      <c r="E1734" s="74">
        <v>6.0429599999999999</v>
      </c>
      <c r="F1734" s="74">
        <v>0</v>
      </c>
      <c r="G1734" s="74">
        <v>0</v>
      </c>
      <c r="H1734" s="74">
        <v>0</v>
      </c>
      <c r="I1734" s="74"/>
      <c r="J1734" s="74">
        <v>0</v>
      </c>
      <c r="K1734" s="74">
        <v>6.6756799999999989</v>
      </c>
      <c r="L1734" s="74">
        <v>0</v>
      </c>
      <c r="M1734" s="74">
        <v>0</v>
      </c>
      <c r="N1734" s="74">
        <v>0</v>
      </c>
    </row>
    <row r="1735" spans="1:14" x14ac:dyDescent="0.25">
      <c r="A1735" t="e">
        <f>VLOOKUP(VALUE(RIGHT(B1735,4)),'Waste Lookups'!$B$1:$C$295,2,FALSE)</f>
        <v>#N/A</v>
      </c>
      <c r="B1735" s="74" t="s">
        <v>4141</v>
      </c>
      <c r="C1735" s="74" t="s">
        <v>4142</v>
      </c>
      <c r="D1735" s="74">
        <v>4.9175151515151523</v>
      </c>
      <c r="E1735" s="74">
        <v>8.0975999999999999</v>
      </c>
      <c r="F1735" s="74">
        <v>0</v>
      </c>
      <c r="G1735" s="74">
        <v>0</v>
      </c>
      <c r="H1735" s="74">
        <v>0</v>
      </c>
      <c r="I1735" s="74"/>
      <c r="J1735" s="74">
        <v>7.30580755657083</v>
      </c>
      <c r="K1735" s="74">
        <v>12.030366037989758</v>
      </c>
      <c r="L1735" s="74">
        <v>0</v>
      </c>
      <c r="M1735" s="74">
        <v>0</v>
      </c>
      <c r="N1735" s="74">
        <v>0</v>
      </c>
    </row>
    <row r="1736" spans="1:14" x14ac:dyDescent="0.25">
      <c r="A1736" t="e">
        <f>VLOOKUP(VALUE(RIGHT(B1736,4)),'Waste Lookups'!$B$1:$C$295,2,FALSE)</f>
        <v>#N/A</v>
      </c>
      <c r="B1736" s="74" t="s">
        <v>4143</v>
      </c>
      <c r="C1736" s="74" t="s">
        <v>4144</v>
      </c>
      <c r="D1736" s="74">
        <v>1.8315151515151518</v>
      </c>
      <c r="E1736" s="74">
        <v>4.9139999999999997</v>
      </c>
      <c r="F1736" s="74">
        <v>0</v>
      </c>
      <c r="G1736" s="74">
        <v>0</v>
      </c>
      <c r="H1736" s="74">
        <v>0</v>
      </c>
      <c r="I1736" s="74"/>
      <c r="J1736" s="74">
        <v>2.0977972616427025</v>
      </c>
      <c r="K1736" s="74">
        <v>5.628441421947449</v>
      </c>
      <c r="L1736" s="74">
        <v>0</v>
      </c>
      <c r="M1736" s="74">
        <v>0</v>
      </c>
      <c r="N1736" s="74">
        <v>0</v>
      </c>
    </row>
    <row r="1737" spans="1:14" x14ac:dyDescent="0.25">
      <c r="A1737" t="e">
        <f>VLOOKUP(VALUE(RIGHT(B1737,4)),'Waste Lookups'!$B$1:$C$295,2,FALSE)</f>
        <v>#N/A</v>
      </c>
      <c r="B1737" s="74" t="s">
        <v>4145</v>
      </c>
      <c r="C1737" s="74" t="s">
        <v>4146</v>
      </c>
      <c r="D1737" s="74">
        <v>0</v>
      </c>
      <c r="E1737" s="74">
        <v>2.36286</v>
      </c>
      <c r="F1737" s="74">
        <v>0</v>
      </c>
      <c r="G1737" s="74">
        <v>0</v>
      </c>
      <c r="H1737" s="74">
        <v>0</v>
      </c>
      <c r="I1737" s="74"/>
      <c r="J1737" s="74">
        <v>0</v>
      </c>
      <c r="K1737" s="74">
        <v>1.2783099999999998</v>
      </c>
      <c r="L1737" s="74">
        <v>0</v>
      </c>
      <c r="M1737" s="74">
        <v>0</v>
      </c>
      <c r="N1737" s="74">
        <v>0</v>
      </c>
    </row>
    <row r="1738" spans="1:14" x14ac:dyDescent="0.25">
      <c r="A1738" t="e">
        <f>VLOOKUP(VALUE(RIGHT(B1738,4)),'Waste Lookups'!$B$1:$C$295,2,FALSE)</f>
        <v>#N/A</v>
      </c>
      <c r="B1738" s="74" t="s">
        <v>4147</v>
      </c>
      <c r="C1738" s="74" t="s">
        <v>4148</v>
      </c>
      <c r="D1738" s="74">
        <v>0</v>
      </c>
      <c r="E1738" s="74">
        <v>0.65843999999999991</v>
      </c>
      <c r="F1738" s="74">
        <v>0</v>
      </c>
      <c r="G1738" s="74">
        <v>0</v>
      </c>
      <c r="H1738" s="74">
        <v>0</v>
      </c>
      <c r="I1738" s="74"/>
      <c r="J1738" s="74">
        <v>0</v>
      </c>
      <c r="K1738" s="74">
        <v>2.1305350000000001</v>
      </c>
      <c r="L1738" s="74">
        <v>0</v>
      </c>
      <c r="M1738" s="74">
        <v>0</v>
      </c>
      <c r="N1738" s="74">
        <v>0</v>
      </c>
    </row>
    <row r="1739" spans="1:14" x14ac:dyDescent="0.25">
      <c r="A1739" t="e">
        <f>VLOOKUP(VALUE(RIGHT(B1739,4)),'Waste Lookups'!$B$1:$C$295,2,FALSE)</f>
        <v>#N/A</v>
      </c>
      <c r="B1739" s="74" t="s">
        <v>4149</v>
      </c>
      <c r="C1739" s="74" t="s">
        <v>4150</v>
      </c>
      <c r="D1739" s="74">
        <v>3.4792121212121221</v>
      </c>
      <c r="E1739" s="74">
        <v>18.87696</v>
      </c>
      <c r="F1739" s="74">
        <v>0.813818181818182</v>
      </c>
      <c r="G1739" s="74">
        <v>0</v>
      </c>
      <c r="H1739" s="74">
        <v>10.177400907118912</v>
      </c>
      <c r="I1739" s="74"/>
      <c r="J1739" s="74">
        <v>18.894996348546279</v>
      </c>
      <c r="K1739" s="74">
        <v>102.51748897316169</v>
      </c>
      <c r="L1739" s="74">
        <v>4.4197051050965817</v>
      </c>
      <c r="M1739" s="74">
        <v>0</v>
      </c>
      <c r="N1739" s="74">
        <v>55.271695509817725</v>
      </c>
    </row>
    <row r="1740" spans="1:14" x14ac:dyDescent="0.25">
      <c r="A1740" t="e">
        <f>VLOOKUP(VALUE(RIGHT(B1740,4)),'Waste Lookups'!$B$1:$C$295,2,FALSE)</f>
        <v>#N/A</v>
      </c>
      <c r="B1740" s="74" t="s">
        <v>4151</v>
      </c>
      <c r="C1740" s="74" t="s">
        <v>4152</v>
      </c>
      <c r="D1740" s="74">
        <v>2.6608787878787878</v>
      </c>
      <c r="E1740" s="74">
        <v>4.6436399999999995</v>
      </c>
      <c r="F1740" s="74">
        <v>0</v>
      </c>
      <c r="G1740" s="74">
        <v>0</v>
      </c>
      <c r="H1740" s="74">
        <v>0</v>
      </c>
      <c r="I1740" s="74"/>
      <c r="J1740" s="74">
        <v>2.8230305267526083</v>
      </c>
      <c r="K1740" s="74">
        <v>4.9266195570298352</v>
      </c>
      <c r="L1740" s="74">
        <v>0</v>
      </c>
      <c r="M1740" s="74">
        <v>0</v>
      </c>
      <c r="N1740" s="74">
        <v>0</v>
      </c>
    </row>
    <row r="1741" spans="1:14" x14ac:dyDescent="0.25">
      <c r="A1741" t="str">
        <f>VLOOKUP(VALUE(RIGHT(B1741,4)),'Waste Lookups'!$B$1:$C$295,2,FALSE)</f>
        <v>St James' Hospital</v>
      </c>
      <c r="B1741" s="74" t="s">
        <v>778</v>
      </c>
      <c r="C1741" s="74" t="s">
        <v>4153</v>
      </c>
      <c r="D1741" s="74">
        <v>0</v>
      </c>
      <c r="E1741" s="74">
        <v>100.68840000000002</v>
      </c>
      <c r="F1741" s="74">
        <v>0</v>
      </c>
      <c r="G1741" s="74">
        <v>0</v>
      </c>
      <c r="H1741" s="74">
        <v>0</v>
      </c>
      <c r="I1741" s="74"/>
      <c r="J1741" s="74">
        <v>0</v>
      </c>
      <c r="K1741" s="74">
        <v>14.040509999999999</v>
      </c>
      <c r="L1741" s="74">
        <v>0</v>
      </c>
      <c r="M1741" s="74">
        <v>0</v>
      </c>
      <c r="N1741" s="74">
        <v>0</v>
      </c>
    </row>
    <row r="1742" spans="1:14" x14ac:dyDescent="0.25">
      <c r="A1742" t="e">
        <f>VLOOKUP(VALUE(RIGHT(B1742,4)),'Waste Lookups'!$B$1:$C$295,2,FALSE)</f>
        <v>#N/A</v>
      </c>
      <c r="B1742" s="74" t="s">
        <v>4154</v>
      </c>
      <c r="C1742" s="74" t="s">
        <v>4155</v>
      </c>
      <c r="D1742" s="74">
        <v>1.9277272727272727</v>
      </c>
      <c r="E1742" s="74">
        <v>3.0214799999999999</v>
      </c>
      <c r="F1742" s="74">
        <v>0</v>
      </c>
      <c r="G1742" s="74">
        <v>0</v>
      </c>
      <c r="H1742" s="74">
        <v>0</v>
      </c>
      <c r="I1742" s="74"/>
      <c r="J1742" s="74">
        <v>2.2463244328335072</v>
      </c>
      <c r="K1742" s="74">
        <v>3.5208426229896546</v>
      </c>
      <c r="L1742" s="74">
        <v>0</v>
      </c>
      <c r="M1742" s="74">
        <v>0</v>
      </c>
      <c r="N1742" s="74">
        <v>0</v>
      </c>
    </row>
    <row r="1743" spans="1:14" x14ac:dyDescent="0.25">
      <c r="A1743" t="e">
        <f>VLOOKUP(VALUE(RIGHT(B1743,4)),'Waste Lookups'!$B$1:$C$295,2,FALSE)</f>
        <v>#N/A</v>
      </c>
      <c r="B1743" s="74" t="s">
        <v>4156</v>
      </c>
      <c r="C1743" s="74" t="s">
        <v>4157</v>
      </c>
      <c r="D1743" s="74">
        <v>6.3731515151515143</v>
      </c>
      <c r="E1743" s="74">
        <v>8.3065200000000008</v>
      </c>
      <c r="F1743" s="74">
        <v>0</v>
      </c>
      <c r="G1743" s="74">
        <v>0</v>
      </c>
      <c r="H1743" s="74">
        <v>0</v>
      </c>
      <c r="I1743" s="74"/>
      <c r="J1743" s="74">
        <v>4.1528720512653861</v>
      </c>
      <c r="K1743" s="74">
        <v>5.4126933384945355</v>
      </c>
      <c r="L1743" s="74">
        <v>0</v>
      </c>
      <c r="M1743" s="74">
        <v>0</v>
      </c>
      <c r="N1743" s="74">
        <v>0</v>
      </c>
    </row>
    <row r="1744" spans="1:14" x14ac:dyDescent="0.25">
      <c r="A1744" t="e">
        <f>VLOOKUP(VALUE(RIGHT(B1744,4)),'Waste Lookups'!$B$1:$C$295,2,FALSE)</f>
        <v>#N/A</v>
      </c>
      <c r="B1744" s="74" t="s">
        <v>4158</v>
      </c>
      <c r="C1744" s="74" t="s">
        <v>4159</v>
      </c>
      <c r="D1744" s="74">
        <v>2.1740606060606065</v>
      </c>
      <c r="E1744" s="74">
        <v>7.2545399999999995</v>
      </c>
      <c r="F1744" s="74">
        <v>0</v>
      </c>
      <c r="G1744" s="74">
        <v>0</v>
      </c>
      <c r="H1744" s="74">
        <v>0</v>
      </c>
      <c r="I1744" s="74"/>
      <c r="J1744" s="74">
        <v>2.7270757222109756</v>
      </c>
      <c r="K1744" s="74">
        <v>9.0998750700222661</v>
      </c>
      <c r="L1744" s="74">
        <v>0</v>
      </c>
      <c r="M1744" s="74">
        <v>0</v>
      </c>
      <c r="N1744" s="74">
        <v>0</v>
      </c>
    </row>
    <row r="1745" spans="1:14" x14ac:dyDescent="0.25">
      <c r="A1745" t="e">
        <f>VLOOKUP(VALUE(RIGHT(B1745,4)),'Waste Lookups'!$B$1:$C$295,2,FALSE)</f>
        <v>#N/A</v>
      </c>
      <c r="B1745" s="74" t="s">
        <v>4160</v>
      </c>
      <c r="C1745" s="74" t="s">
        <v>4161</v>
      </c>
      <c r="D1745" s="74">
        <v>0.16512121212121214</v>
      </c>
      <c r="E1745" s="74">
        <v>0.86513999999999991</v>
      </c>
      <c r="F1745" s="74">
        <v>0</v>
      </c>
      <c r="G1745" s="74">
        <v>0</v>
      </c>
      <c r="H1745" s="74">
        <v>0</v>
      </c>
      <c r="I1745" s="74"/>
      <c r="J1745" s="74">
        <v>1.4271201359528445</v>
      </c>
      <c r="K1745" s="74">
        <v>7.4772871308133668</v>
      </c>
      <c r="L1745" s="74">
        <v>0</v>
      </c>
      <c r="M1745" s="74">
        <v>0</v>
      </c>
      <c r="N1745" s="74">
        <v>0</v>
      </c>
    </row>
    <row r="1746" spans="1:14" x14ac:dyDescent="0.25">
      <c r="A1746" t="e">
        <f>VLOOKUP(VALUE(RIGHT(B1746,4)),'Waste Lookups'!$B$1:$C$295,2,FALSE)</f>
        <v>#N/A</v>
      </c>
      <c r="B1746" s="74" t="s">
        <v>4162</v>
      </c>
      <c r="C1746" s="74" t="s">
        <v>4163</v>
      </c>
      <c r="D1746" s="74">
        <v>6.1008484848484859</v>
      </c>
      <c r="E1746" s="74">
        <v>10.9146</v>
      </c>
      <c r="F1746" s="74">
        <v>0</v>
      </c>
      <c r="G1746" s="74">
        <v>0</v>
      </c>
      <c r="H1746" s="74">
        <v>0</v>
      </c>
      <c r="I1746" s="74"/>
      <c r="J1746" s="74">
        <v>6.1381206758086506</v>
      </c>
      <c r="K1746" s="74">
        <v>10.981281061898869</v>
      </c>
      <c r="L1746" s="74">
        <v>0</v>
      </c>
      <c r="M1746" s="74">
        <v>0</v>
      </c>
      <c r="N1746" s="74">
        <v>0</v>
      </c>
    </row>
    <row r="1747" spans="1:14" x14ac:dyDescent="0.25">
      <c r="A1747" t="e">
        <f>VLOOKUP(VALUE(RIGHT(B1747,4)),'Waste Lookups'!$B$1:$C$295,2,FALSE)</f>
        <v>#N/A</v>
      </c>
      <c r="B1747" s="74" t="s">
        <v>4164</v>
      </c>
      <c r="C1747" s="74" t="s">
        <v>4165</v>
      </c>
      <c r="D1747" s="74">
        <v>2.2084242424242424</v>
      </c>
      <c r="E1747" s="74">
        <v>5.1303599999999996</v>
      </c>
      <c r="F1747" s="74">
        <v>0</v>
      </c>
      <c r="G1747" s="74">
        <v>0</v>
      </c>
      <c r="H1747" s="74">
        <v>0</v>
      </c>
      <c r="I1747" s="74"/>
      <c r="J1747" s="74">
        <v>2.1165181135019253</v>
      </c>
      <c r="K1747" s="74">
        <v>4.9168541352661874</v>
      </c>
      <c r="L1747" s="74">
        <v>0</v>
      </c>
      <c r="M1747" s="74">
        <v>0</v>
      </c>
      <c r="N1747" s="74">
        <v>0</v>
      </c>
    </row>
    <row r="1748" spans="1:14" x14ac:dyDescent="0.25">
      <c r="A1748" t="str">
        <f>VLOOKUP(VALUE(RIGHT(B1748,4)),'Waste Lookups'!$B$1:$C$295,2,FALSE)</f>
        <v>Oakley Road PCT Headquarters</v>
      </c>
      <c r="B1748" s="74" t="s">
        <v>739</v>
      </c>
      <c r="C1748" s="74" t="s">
        <v>4166</v>
      </c>
      <c r="D1748" s="74">
        <v>0</v>
      </c>
      <c r="E1748" s="74">
        <v>22.05228</v>
      </c>
      <c r="F1748" s="74">
        <v>0</v>
      </c>
      <c r="G1748" s="74">
        <v>9.4026599999999991</v>
      </c>
      <c r="H1748" s="74">
        <v>0</v>
      </c>
      <c r="I1748" s="74"/>
      <c r="J1748" s="74">
        <v>0</v>
      </c>
      <c r="K1748" s="74">
        <v>39.332566372507479</v>
      </c>
      <c r="L1748" s="74">
        <v>0</v>
      </c>
      <c r="M1748" s="74">
        <v>16.770635441238785</v>
      </c>
      <c r="N1748" s="74">
        <v>0</v>
      </c>
    </row>
    <row r="1749" spans="1:14" x14ac:dyDescent="0.25">
      <c r="A1749" t="e">
        <f>VLOOKUP(VALUE(RIGHT(B1749,4)),'Waste Lookups'!$B$1:$C$295,2,FALSE)</f>
        <v>#N/A</v>
      </c>
      <c r="B1749" s="74" t="s">
        <v>4167</v>
      </c>
      <c r="C1749" s="74" t="s">
        <v>4168</v>
      </c>
      <c r="D1749" s="74">
        <v>6.6053333333333342</v>
      </c>
      <c r="E1749" s="74">
        <v>6.5022000000000002</v>
      </c>
      <c r="F1749" s="74">
        <v>0</v>
      </c>
      <c r="G1749" s="74">
        <v>0</v>
      </c>
      <c r="H1749" s="74">
        <v>0</v>
      </c>
      <c r="I1749" s="74"/>
      <c r="J1749" s="74">
        <v>4.3503708552000369</v>
      </c>
      <c r="K1749" s="74">
        <v>4.2824457067039274</v>
      </c>
      <c r="L1749" s="74">
        <v>0</v>
      </c>
      <c r="M1749" s="74">
        <v>0</v>
      </c>
      <c r="N1749" s="74">
        <v>0</v>
      </c>
    </row>
    <row r="1750" spans="1:14" x14ac:dyDescent="0.25">
      <c r="A1750" t="e">
        <f>VLOOKUP(VALUE(RIGHT(B1750,4)),'Waste Lookups'!$B$1:$C$295,2,FALSE)</f>
        <v>#N/A</v>
      </c>
      <c r="B1750" s="74" t="s">
        <v>4169</v>
      </c>
      <c r="C1750" s="74" t="s">
        <v>4170</v>
      </c>
      <c r="D1750" s="74">
        <v>1.2960606060606061</v>
      </c>
      <c r="E1750" s="74">
        <v>0.222</v>
      </c>
      <c r="F1750" s="74">
        <v>0</v>
      </c>
      <c r="G1750" s="74">
        <v>7.7399999999999997E-2</v>
      </c>
      <c r="H1750" s="74">
        <v>0</v>
      </c>
      <c r="I1750" s="74"/>
      <c r="J1750" s="74">
        <v>2.5633434455478086</v>
      </c>
      <c r="K1750" s="74">
        <v>0.43907070568349882</v>
      </c>
      <c r="L1750" s="74">
        <v>0</v>
      </c>
      <c r="M1750" s="74">
        <v>0.15308140819776039</v>
      </c>
      <c r="N1750" s="74">
        <v>0</v>
      </c>
    </row>
    <row r="1751" spans="1:14" x14ac:dyDescent="0.25">
      <c r="A1751" t="e">
        <f>VLOOKUP(VALUE(RIGHT(B1751,4)),'Waste Lookups'!$B$1:$C$295,2,FALSE)</f>
        <v>#N/A</v>
      </c>
      <c r="B1751" s="74" t="s">
        <v>4171</v>
      </c>
      <c r="C1751" s="74" t="s">
        <v>4172</v>
      </c>
      <c r="D1751" s="74">
        <v>27.488151515151515</v>
      </c>
      <c r="E1751" s="74">
        <v>123.11682</v>
      </c>
      <c r="F1751" s="74">
        <v>0</v>
      </c>
      <c r="G1751" s="74">
        <v>0</v>
      </c>
      <c r="H1751" s="74">
        <v>0</v>
      </c>
      <c r="I1751" s="74"/>
      <c r="J1751" s="74">
        <v>26.024485466385975</v>
      </c>
      <c r="K1751" s="74">
        <v>116.56119877655577</v>
      </c>
      <c r="L1751" s="74">
        <v>0</v>
      </c>
      <c r="M1751" s="74">
        <v>0</v>
      </c>
      <c r="N1751" s="74">
        <v>0</v>
      </c>
    </row>
    <row r="1752" spans="1:14" x14ac:dyDescent="0.25">
      <c r="A1752" t="str">
        <f>VLOOKUP(VALUE(RIGHT(B1752,4)),'Waste Lookups'!$B$1:$C$295,2,FALSE)</f>
        <v>Southgate House</v>
      </c>
      <c r="B1752" s="74" t="s">
        <v>649</v>
      </c>
      <c r="C1752" s="74" t="s">
        <v>4173</v>
      </c>
      <c r="D1752" s="74">
        <v>0</v>
      </c>
      <c r="E1752" s="74">
        <v>27.838800000000003</v>
      </c>
      <c r="F1752" s="74">
        <v>0</v>
      </c>
      <c r="G1752" s="74">
        <v>36.697859999999999</v>
      </c>
      <c r="H1752" s="74">
        <v>17.447351607178071</v>
      </c>
      <c r="I1752" s="74"/>
      <c r="J1752" s="74">
        <v>0</v>
      </c>
      <c r="K1752" s="74">
        <v>23.541212144572491</v>
      </c>
      <c r="L1752" s="74">
        <v>0</v>
      </c>
      <c r="M1752" s="74">
        <v>31.032663315653728</v>
      </c>
      <c r="N1752" s="74">
        <v>14.753933558397877</v>
      </c>
    </row>
    <row r="1753" spans="1:14" x14ac:dyDescent="0.25">
      <c r="A1753" t="e">
        <f>VLOOKUP(VALUE(RIGHT(B1753,4)),'Waste Lookups'!$B$1:$C$295,2,FALSE)</f>
        <v>#N/A</v>
      </c>
      <c r="B1753" s="74" t="s">
        <v>4174</v>
      </c>
      <c r="C1753" s="74" t="s">
        <v>4175</v>
      </c>
      <c r="D1753" s="74">
        <v>7.2999090909090905</v>
      </c>
      <c r="E1753" s="74">
        <v>86.368560000000002</v>
      </c>
      <c r="F1753" s="74">
        <v>0</v>
      </c>
      <c r="G1753" s="74">
        <v>0</v>
      </c>
      <c r="H1753" s="74">
        <v>0</v>
      </c>
      <c r="I1753" s="74"/>
      <c r="J1753" s="74">
        <v>8.7020374180315905</v>
      </c>
      <c r="K1753" s="74">
        <v>102.95778091229745</v>
      </c>
      <c r="L1753" s="74">
        <v>0</v>
      </c>
      <c r="M1753" s="74">
        <v>0</v>
      </c>
      <c r="N1753" s="74">
        <v>0</v>
      </c>
    </row>
    <row r="1754" spans="1:14" x14ac:dyDescent="0.25">
      <c r="A1754" t="e">
        <f>VLOOKUP(VALUE(RIGHT(B1754,4)),'Waste Lookups'!$B$1:$C$295,2,FALSE)</f>
        <v>#N/A</v>
      </c>
      <c r="B1754" s="74" t="s">
        <v>4176</v>
      </c>
      <c r="C1754" s="74" t="s">
        <v>4177</v>
      </c>
      <c r="D1754" s="74">
        <v>3.5196060606060606</v>
      </c>
      <c r="E1754" s="74">
        <v>11.58264</v>
      </c>
      <c r="F1754" s="74">
        <v>0</v>
      </c>
      <c r="G1754" s="74">
        <v>0</v>
      </c>
      <c r="H1754" s="74">
        <v>0</v>
      </c>
      <c r="I1754" s="74"/>
      <c r="J1754" s="74">
        <v>3.4238860016049051</v>
      </c>
      <c r="K1754" s="74">
        <v>11.267635716822289</v>
      </c>
      <c r="L1754" s="74">
        <v>0</v>
      </c>
      <c r="M1754" s="74">
        <v>0</v>
      </c>
      <c r="N1754" s="74">
        <v>0</v>
      </c>
    </row>
    <row r="1755" spans="1:14" x14ac:dyDescent="0.25">
      <c r="A1755" t="e">
        <f>VLOOKUP(VALUE(RIGHT(B1755,4)),'Waste Lookups'!$B$1:$C$295,2,FALSE)</f>
        <v>#N/A</v>
      </c>
      <c r="B1755" s="74" t="s">
        <v>4178</v>
      </c>
      <c r="C1755" s="74" t="s">
        <v>4179</v>
      </c>
      <c r="D1755" s="74">
        <v>3.0276666666666672</v>
      </c>
      <c r="E1755" s="74">
        <v>5.9653799999999997</v>
      </c>
      <c r="F1755" s="74">
        <v>0</v>
      </c>
      <c r="G1755" s="74">
        <v>0</v>
      </c>
      <c r="H1755" s="74">
        <v>0</v>
      </c>
      <c r="I1755" s="74"/>
      <c r="J1755" s="74">
        <v>2.7285658072300034</v>
      </c>
      <c r="K1755" s="74">
        <v>5.3760647016845926</v>
      </c>
      <c r="L1755" s="74">
        <v>0</v>
      </c>
      <c r="M1755" s="74">
        <v>0</v>
      </c>
      <c r="N1755" s="74">
        <v>0</v>
      </c>
    </row>
    <row r="1756" spans="1:14" x14ac:dyDescent="0.25">
      <c r="A1756" t="str">
        <f>VLOOKUP(VALUE(RIGHT(B1756,4)),'Waste Lookups'!$B$1:$C$295,2,FALSE)</f>
        <v>Coitbury House</v>
      </c>
      <c r="B1756" s="74" t="s">
        <v>736</v>
      </c>
      <c r="C1756" s="74" t="s">
        <v>4180</v>
      </c>
      <c r="D1756" s="74">
        <v>0</v>
      </c>
      <c r="E1756" s="74">
        <v>8.9166599999999985</v>
      </c>
      <c r="F1756" s="74">
        <v>0</v>
      </c>
      <c r="G1756" s="74">
        <v>0</v>
      </c>
      <c r="H1756" s="74">
        <v>0</v>
      </c>
      <c r="I1756" s="74"/>
      <c r="J1756" s="74">
        <v>0</v>
      </c>
      <c r="K1756" s="74">
        <v>11.847439999999999</v>
      </c>
      <c r="L1756" s="74">
        <v>0</v>
      </c>
      <c r="M1756" s="74">
        <v>0</v>
      </c>
      <c r="N1756" s="74">
        <v>0</v>
      </c>
    </row>
    <row r="1757" spans="1:14" x14ac:dyDescent="0.25">
      <c r="A1757" t="e">
        <f>VLOOKUP(VALUE(RIGHT(B1757,4)),'Waste Lookups'!$B$1:$C$295,2,FALSE)</f>
        <v>#N/A</v>
      </c>
      <c r="B1757" s="74" t="s">
        <v>4181</v>
      </c>
      <c r="C1757" s="74" t="s">
        <v>4182</v>
      </c>
      <c r="D1757" s="74">
        <v>4.1106060606060613</v>
      </c>
      <c r="E1757" s="74">
        <v>6.8234400000000006</v>
      </c>
      <c r="F1757" s="74">
        <v>0</v>
      </c>
      <c r="G1757" s="74">
        <v>0</v>
      </c>
      <c r="H1757" s="74">
        <v>0</v>
      </c>
      <c r="I1757" s="74"/>
      <c r="J1757" s="74">
        <v>5.1510187063963722</v>
      </c>
      <c r="K1757" s="74">
        <v>8.5504829613351827</v>
      </c>
      <c r="L1757" s="74">
        <v>0</v>
      </c>
      <c r="M1757" s="74">
        <v>0</v>
      </c>
      <c r="N1757" s="74">
        <v>0</v>
      </c>
    </row>
    <row r="1758" spans="1:14" x14ac:dyDescent="0.25">
      <c r="A1758" t="e">
        <f>VLOOKUP(VALUE(RIGHT(B1758,4)),'Waste Lookups'!$B$1:$C$295,2,FALSE)</f>
        <v>#N/A</v>
      </c>
      <c r="B1758" s="74" t="s">
        <v>4183</v>
      </c>
      <c r="C1758" s="74" t="s">
        <v>4184</v>
      </c>
      <c r="D1758" s="74">
        <v>0.60806060606060608</v>
      </c>
      <c r="E1758" s="74">
        <v>6.0429599999999999</v>
      </c>
      <c r="F1758" s="74">
        <v>0</v>
      </c>
      <c r="G1758" s="74">
        <v>0</v>
      </c>
      <c r="H1758" s="74">
        <v>0</v>
      </c>
      <c r="I1758" s="74"/>
      <c r="J1758" s="74">
        <v>0.73084665715457975</v>
      </c>
      <c r="K1758" s="74">
        <v>7.2632186188339318</v>
      </c>
      <c r="L1758" s="74">
        <v>0</v>
      </c>
      <c r="M1758" s="74">
        <v>0</v>
      </c>
      <c r="N1758" s="74">
        <v>0</v>
      </c>
    </row>
    <row r="1759" spans="1:14" x14ac:dyDescent="0.25">
      <c r="A1759" t="e">
        <f>VLOOKUP(VALUE(RIGHT(B1759,4)),'Waste Lookups'!$B$1:$C$295,2,FALSE)</f>
        <v>#N/A</v>
      </c>
      <c r="B1759" s="74" t="s">
        <v>4185</v>
      </c>
      <c r="C1759" s="74" t="s">
        <v>4186</v>
      </c>
      <c r="D1759" s="74">
        <v>5.9134545454545462</v>
      </c>
      <c r="E1759" s="74">
        <v>14.653439999999998</v>
      </c>
      <c r="F1759" s="74">
        <v>0</v>
      </c>
      <c r="G1759" s="74">
        <v>0</v>
      </c>
      <c r="H1759" s="74">
        <v>0</v>
      </c>
      <c r="I1759" s="74"/>
      <c r="J1759" s="74">
        <v>7.9522554881860632</v>
      </c>
      <c r="K1759" s="74">
        <v>19.705554133391601</v>
      </c>
      <c r="L1759" s="74">
        <v>0</v>
      </c>
      <c r="M1759" s="74">
        <v>0</v>
      </c>
      <c r="N1759" s="74">
        <v>0</v>
      </c>
    </row>
    <row r="1760" spans="1:14" x14ac:dyDescent="0.25">
      <c r="A1760" t="e">
        <f>VLOOKUP(VALUE(RIGHT(B1760,4)),'Waste Lookups'!$B$1:$C$295,2,FALSE)</f>
        <v>#N/A</v>
      </c>
      <c r="B1760" s="74" t="s">
        <v>4187</v>
      </c>
      <c r="C1760" s="74" t="s">
        <v>4188</v>
      </c>
      <c r="D1760" s="74">
        <v>8.9010606060606055</v>
      </c>
      <c r="E1760" s="74">
        <v>17.431260000000002</v>
      </c>
      <c r="F1760" s="74">
        <v>0</v>
      </c>
      <c r="G1760" s="74">
        <v>0</v>
      </c>
      <c r="H1760" s="74">
        <v>0</v>
      </c>
      <c r="I1760" s="74"/>
      <c r="J1760" s="74">
        <v>9.2006275424072079</v>
      </c>
      <c r="K1760" s="74">
        <v>18.017912466033721</v>
      </c>
      <c r="L1760" s="74">
        <v>0</v>
      </c>
      <c r="M1760" s="74">
        <v>0</v>
      </c>
      <c r="N1760" s="74">
        <v>0</v>
      </c>
    </row>
    <row r="1761" spans="1:14" x14ac:dyDescent="0.25">
      <c r="A1761" t="e">
        <f>VLOOKUP(VALUE(RIGHT(B1761,4)),'Waste Lookups'!$B$1:$C$295,2,FALSE)</f>
        <v>#N/A</v>
      </c>
      <c r="B1761" s="74" t="s">
        <v>4189</v>
      </c>
      <c r="C1761" s="74" t="s">
        <v>4190</v>
      </c>
      <c r="D1761" s="74">
        <v>0</v>
      </c>
      <c r="E1761" s="74">
        <v>0</v>
      </c>
      <c r="F1761" s="74">
        <v>0</v>
      </c>
      <c r="G1761" s="74">
        <v>0</v>
      </c>
      <c r="H1761" s="74">
        <v>0.63122855452573456</v>
      </c>
      <c r="I1761" s="74"/>
      <c r="J1761" s="74">
        <v>0</v>
      </c>
      <c r="K1761" s="74">
        <v>0</v>
      </c>
      <c r="L1761" s="74">
        <v>0</v>
      </c>
      <c r="M1761" s="74">
        <v>0</v>
      </c>
      <c r="N1761" s="74">
        <v>9.9861402747650025</v>
      </c>
    </row>
    <row r="1762" spans="1:14" x14ac:dyDescent="0.25">
      <c r="A1762" t="e">
        <f>VLOOKUP(VALUE(RIGHT(B1762,4)),'Waste Lookups'!$B$1:$C$295,2,FALSE)</f>
        <v>#N/A</v>
      </c>
      <c r="B1762" s="74" t="s">
        <v>4191</v>
      </c>
      <c r="C1762" s="74" t="s">
        <v>4192</v>
      </c>
      <c r="D1762" s="74">
        <v>3.2571515151515151</v>
      </c>
      <c r="E1762" s="74">
        <v>8.8020599999999991</v>
      </c>
      <c r="F1762" s="74">
        <v>0</v>
      </c>
      <c r="G1762" s="74">
        <v>0</v>
      </c>
      <c r="H1762" s="74">
        <v>0</v>
      </c>
      <c r="I1762" s="74"/>
      <c r="J1762" s="74">
        <v>3.617196005958867</v>
      </c>
      <c r="K1762" s="74">
        <v>9.775036908201443</v>
      </c>
      <c r="L1762" s="74">
        <v>0</v>
      </c>
      <c r="M1762" s="74">
        <v>0</v>
      </c>
      <c r="N1762" s="74">
        <v>0</v>
      </c>
    </row>
    <row r="1763" spans="1:14" x14ac:dyDescent="0.25">
      <c r="A1763" t="e">
        <f>VLOOKUP(VALUE(RIGHT(B1763,4)),'Waste Lookups'!$B$1:$C$295,2,FALSE)</f>
        <v>#N/A</v>
      </c>
      <c r="B1763" s="74" t="s">
        <v>4193</v>
      </c>
      <c r="C1763" s="74" t="s">
        <v>4194</v>
      </c>
      <c r="D1763" s="74">
        <v>8.0283939393939399</v>
      </c>
      <c r="E1763" s="74">
        <v>18.021180000000001</v>
      </c>
      <c r="F1763" s="74">
        <v>0</v>
      </c>
      <c r="G1763" s="74">
        <v>0</v>
      </c>
      <c r="H1763" s="74">
        <v>0</v>
      </c>
      <c r="I1763" s="74"/>
      <c r="J1763" s="74">
        <v>9.2088678001556712</v>
      </c>
      <c r="K1763" s="74">
        <v>20.670966755691769</v>
      </c>
      <c r="L1763" s="74">
        <v>0</v>
      </c>
      <c r="M1763" s="74">
        <v>0</v>
      </c>
      <c r="N1763" s="74">
        <v>0</v>
      </c>
    </row>
    <row r="1764" spans="1:14" x14ac:dyDescent="0.25">
      <c r="A1764" t="e">
        <f>VLOOKUP(VALUE(RIGHT(B1764,4)),'Waste Lookups'!$B$1:$C$295,2,FALSE)</f>
        <v>#N/A</v>
      </c>
      <c r="B1764" s="74" t="s">
        <v>4195</v>
      </c>
      <c r="C1764" s="74" t="s">
        <v>4196</v>
      </c>
      <c r="D1764" s="74">
        <v>8.2531212121212132</v>
      </c>
      <c r="E1764" s="74">
        <v>10.98504</v>
      </c>
      <c r="F1764" s="74">
        <v>0</v>
      </c>
      <c r="G1764" s="74">
        <v>0</v>
      </c>
      <c r="H1764" s="74">
        <v>0</v>
      </c>
      <c r="I1764" s="74"/>
      <c r="J1764" s="74">
        <v>10.00475099355125</v>
      </c>
      <c r="K1764" s="74">
        <v>13.316488032768527</v>
      </c>
      <c r="L1764" s="74">
        <v>0</v>
      </c>
      <c r="M1764" s="74">
        <v>0</v>
      </c>
      <c r="N1764" s="74">
        <v>0</v>
      </c>
    </row>
    <row r="1765" spans="1:14" x14ac:dyDescent="0.25">
      <c r="A1765" t="e">
        <f>VLOOKUP(VALUE(RIGHT(B1765,4)),'Waste Lookups'!$B$1:$C$295,2,FALSE)</f>
        <v>#N/A</v>
      </c>
      <c r="B1765" s="74" t="s">
        <v>4197</v>
      </c>
      <c r="C1765" s="74" t="s">
        <v>4198</v>
      </c>
      <c r="D1765" s="74">
        <v>3.1879393939393945</v>
      </c>
      <c r="E1765" s="74">
        <v>17.331060000000001</v>
      </c>
      <c r="F1765" s="74">
        <v>0</v>
      </c>
      <c r="G1765" s="74">
        <v>0</v>
      </c>
      <c r="H1765" s="74">
        <v>0</v>
      </c>
      <c r="I1765" s="74"/>
      <c r="J1765" s="74">
        <v>4.6577289897833829</v>
      </c>
      <c r="K1765" s="74">
        <v>25.321491600228903</v>
      </c>
      <c r="L1765" s="74">
        <v>0</v>
      </c>
      <c r="M1765" s="74">
        <v>0</v>
      </c>
      <c r="N1765" s="74">
        <v>0</v>
      </c>
    </row>
    <row r="1766" spans="1:14" x14ac:dyDescent="0.25">
      <c r="A1766" t="e">
        <f>VLOOKUP(VALUE(RIGHT(B1766,4)),'Waste Lookups'!$B$1:$C$295,2,FALSE)</f>
        <v>#N/A</v>
      </c>
      <c r="B1766" s="74" t="s">
        <v>4199</v>
      </c>
      <c r="C1766" s="74" t="s">
        <v>4200</v>
      </c>
      <c r="D1766" s="74">
        <v>3.6123030303030301</v>
      </c>
      <c r="E1766" s="74">
        <v>6.5078399999999998</v>
      </c>
      <c r="F1766" s="74">
        <v>0</v>
      </c>
      <c r="G1766" s="74">
        <v>0</v>
      </c>
      <c r="H1766" s="74">
        <v>0</v>
      </c>
      <c r="I1766" s="74"/>
      <c r="J1766" s="74">
        <v>3.4820412177957376</v>
      </c>
      <c r="K1766" s="74">
        <v>6.2731633887644405</v>
      </c>
      <c r="L1766" s="74">
        <v>0</v>
      </c>
      <c r="M1766" s="74">
        <v>0</v>
      </c>
      <c r="N1766" s="74">
        <v>0</v>
      </c>
    </row>
    <row r="1767" spans="1:14" x14ac:dyDescent="0.25">
      <c r="A1767" t="e">
        <f>VLOOKUP(VALUE(RIGHT(B1767,4)),'Waste Lookups'!$B$1:$C$295,2,FALSE)</f>
        <v>#N/A</v>
      </c>
      <c r="B1767" s="74" t="s">
        <v>4201</v>
      </c>
      <c r="C1767" s="74" t="s">
        <v>4202</v>
      </c>
      <c r="D1767" s="74">
        <v>4.3879696969696971</v>
      </c>
      <c r="E1767" s="74">
        <v>8.2291799999999995</v>
      </c>
      <c r="F1767" s="74">
        <v>0</v>
      </c>
      <c r="G1767" s="74">
        <v>0</v>
      </c>
      <c r="H1767" s="74">
        <v>0</v>
      </c>
      <c r="I1767" s="74"/>
      <c r="J1767" s="74">
        <v>4.972645073758553</v>
      </c>
      <c r="K1767" s="74">
        <v>9.3256777539580646</v>
      </c>
      <c r="L1767" s="74">
        <v>0</v>
      </c>
      <c r="M1767" s="74">
        <v>0</v>
      </c>
      <c r="N1767" s="74">
        <v>0</v>
      </c>
    </row>
    <row r="1768" spans="1:14" x14ac:dyDescent="0.25">
      <c r="A1768" t="e">
        <f>VLOOKUP(VALUE(RIGHT(B1768,4)),'Waste Lookups'!$B$1:$C$295,2,FALSE)</f>
        <v>#N/A</v>
      </c>
      <c r="B1768" s="74" t="s">
        <v>4203</v>
      </c>
      <c r="C1768" s="74" t="s">
        <v>4204</v>
      </c>
      <c r="D1768" s="74">
        <v>2.9875151515151517</v>
      </c>
      <c r="E1768" s="74">
        <v>13.884600000000001</v>
      </c>
      <c r="F1768" s="74">
        <v>0</v>
      </c>
      <c r="G1768" s="74">
        <v>0</v>
      </c>
      <c r="H1768" s="74">
        <v>0</v>
      </c>
      <c r="I1768" s="74"/>
      <c r="J1768" s="74">
        <v>3.5389489101280751</v>
      </c>
      <c r="K1768" s="74">
        <v>16.447411157946412</v>
      </c>
      <c r="L1768" s="74">
        <v>0</v>
      </c>
      <c r="M1768" s="74">
        <v>0</v>
      </c>
      <c r="N1768" s="74">
        <v>0</v>
      </c>
    </row>
    <row r="1769" spans="1:14" x14ac:dyDescent="0.25">
      <c r="A1769" t="e">
        <f>VLOOKUP(VALUE(RIGHT(B1769,4)),'Waste Lookups'!$B$1:$C$295,2,FALSE)</f>
        <v>#N/A</v>
      </c>
      <c r="B1769" s="74" t="s">
        <v>4205</v>
      </c>
      <c r="C1769" s="74" t="s">
        <v>4206</v>
      </c>
      <c r="D1769" s="74">
        <v>2.9626666666666663</v>
      </c>
      <c r="E1769" s="74">
        <v>6.5108400000000008</v>
      </c>
      <c r="F1769" s="74">
        <v>0</v>
      </c>
      <c r="G1769" s="74">
        <v>0</v>
      </c>
      <c r="H1769" s="74">
        <v>0</v>
      </c>
      <c r="I1769" s="74"/>
      <c r="J1769" s="74">
        <v>3.4081311462517871</v>
      </c>
      <c r="K1769" s="74">
        <v>7.4898053304214622</v>
      </c>
      <c r="L1769" s="74">
        <v>0</v>
      </c>
      <c r="M1769" s="74">
        <v>0</v>
      </c>
      <c r="N1769" s="74">
        <v>0</v>
      </c>
    </row>
    <row r="1770" spans="1:14" x14ac:dyDescent="0.25">
      <c r="A1770" t="str">
        <f>VLOOKUP(VALUE(RIGHT(B1770,4)),'Waste Lookups'!$B$1:$C$295,2,FALSE)</f>
        <v>Omega House</v>
      </c>
      <c r="B1770" s="74" t="s">
        <v>737</v>
      </c>
      <c r="C1770" s="74" t="s">
        <v>4207</v>
      </c>
      <c r="D1770" s="74">
        <v>3.6647575757575757</v>
      </c>
      <c r="E1770" s="74">
        <v>13.584540000000001</v>
      </c>
      <c r="F1770" s="74">
        <v>0</v>
      </c>
      <c r="G1770" s="74">
        <v>0</v>
      </c>
      <c r="H1770" s="74">
        <v>4.511362650364819</v>
      </c>
      <c r="I1770" s="74"/>
      <c r="J1770" s="74">
        <v>10.627089798145199</v>
      </c>
      <c r="K1770" s="74">
        <v>39.392544653285164</v>
      </c>
      <c r="L1770" s="74">
        <v>0</v>
      </c>
      <c r="M1770" s="74">
        <v>0</v>
      </c>
      <c r="N1770" s="74">
        <v>13.082081148986939</v>
      </c>
    </row>
    <row r="1771" spans="1:14" x14ac:dyDescent="0.25">
      <c r="A1771" t="e">
        <f>VLOOKUP(VALUE(RIGHT(B1771,4)),'Waste Lookups'!$B$1:$C$295,2,FALSE)</f>
        <v>#N/A</v>
      </c>
      <c r="B1771" s="74" t="s">
        <v>4208</v>
      </c>
      <c r="C1771" s="74" t="s">
        <v>4209</v>
      </c>
      <c r="D1771" s="74">
        <v>2.4704545454545452</v>
      </c>
      <c r="E1771" s="74">
        <v>6.0429599999999999</v>
      </c>
      <c r="F1771" s="74">
        <v>0</v>
      </c>
      <c r="G1771" s="74">
        <v>0</v>
      </c>
      <c r="H1771" s="74">
        <v>0</v>
      </c>
      <c r="I1771" s="74"/>
      <c r="J1771" s="74">
        <v>3.1241609667967145</v>
      </c>
      <c r="K1771" s="74">
        <v>7.6419862857425063</v>
      </c>
      <c r="L1771" s="74">
        <v>0</v>
      </c>
      <c r="M1771" s="74">
        <v>0</v>
      </c>
      <c r="N1771" s="74">
        <v>0</v>
      </c>
    </row>
    <row r="1772" spans="1:14" x14ac:dyDescent="0.25">
      <c r="A1772" t="str">
        <f>VLOOKUP(VALUE(RIGHT(B1772,4)),'Waste Lookups'!$B$1:$C$295,2,FALSE)</f>
        <v>PPSA - Winnal Store</v>
      </c>
      <c r="B1772" s="74" t="s">
        <v>738</v>
      </c>
      <c r="C1772" s="74" t="s">
        <v>4210</v>
      </c>
      <c r="D1772" s="74">
        <v>0</v>
      </c>
      <c r="E1772" s="74">
        <v>3.0285000000000002</v>
      </c>
      <c r="F1772" s="74">
        <v>0</v>
      </c>
      <c r="G1772" s="74">
        <v>0</v>
      </c>
      <c r="H1772" s="74">
        <v>0</v>
      </c>
      <c r="I1772" s="74"/>
      <c r="J1772" s="74">
        <v>0</v>
      </c>
      <c r="K1772" s="74">
        <v>3.3314050000000002</v>
      </c>
      <c r="L1772" s="74">
        <v>0</v>
      </c>
      <c r="M1772" s="74">
        <v>0</v>
      </c>
      <c r="N1772" s="74">
        <v>0</v>
      </c>
    </row>
    <row r="1773" spans="1:14" x14ac:dyDescent="0.25">
      <c r="A1773" t="e">
        <f>VLOOKUP(VALUE(RIGHT(B1773,4)),'Waste Lookups'!$B$1:$C$295,2,FALSE)</f>
        <v>#N/A</v>
      </c>
      <c r="B1773" s="74" t="s">
        <v>4211</v>
      </c>
      <c r="C1773" s="74" t="s">
        <v>4212</v>
      </c>
      <c r="D1773" s="74">
        <v>4.416242424242423</v>
      </c>
      <c r="E1773" s="74">
        <v>8.9866200000000003</v>
      </c>
      <c r="F1773" s="74">
        <v>0</v>
      </c>
      <c r="G1773" s="74">
        <v>0</v>
      </c>
      <c r="H1773" s="74">
        <v>0</v>
      </c>
      <c r="I1773" s="74"/>
      <c r="J1773" s="74">
        <v>3.5394700627947557</v>
      </c>
      <c r="K1773" s="74">
        <v>7.2024742756663835</v>
      </c>
      <c r="L1773" s="74">
        <v>0</v>
      </c>
      <c r="M1773" s="74">
        <v>0</v>
      </c>
      <c r="N1773" s="74">
        <v>0</v>
      </c>
    </row>
    <row r="1774" spans="1:14" x14ac:dyDescent="0.25">
      <c r="A1774" t="e">
        <f>VLOOKUP(VALUE(RIGHT(B1774,4)),'Waste Lookups'!$B$1:$C$295,2,FALSE)</f>
        <v>#N/A</v>
      </c>
      <c r="B1774" s="74" t="s">
        <v>4213</v>
      </c>
      <c r="C1774" s="74" t="s">
        <v>4214</v>
      </c>
      <c r="D1774" s="74">
        <v>0.25775757575757574</v>
      </c>
      <c r="E1774" s="74">
        <v>6.9598200000000006</v>
      </c>
      <c r="F1774" s="74">
        <v>0</v>
      </c>
      <c r="G1774" s="74">
        <v>0</v>
      </c>
      <c r="H1774" s="74">
        <v>1.8786669295996847</v>
      </c>
      <c r="I1774" s="74"/>
      <c r="J1774" s="74">
        <v>0.52778978106122743</v>
      </c>
      <c r="K1774" s="74">
        <v>14.251072400992619</v>
      </c>
      <c r="L1774" s="74">
        <v>0</v>
      </c>
      <c r="M1774" s="74">
        <v>0</v>
      </c>
      <c r="N1774" s="74">
        <v>3.8467975365850853</v>
      </c>
    </row>
    <row r="1775" spans="1:14" x14ac:dyDescent="0.25">
      <c r="A1775" t="e">
        <f>VLOOKUP(VALUE(RIGHT(B1775,4)),'Waste Lookups'!$B$1:$C$295,2,FALSE)</f>
        <v>#N/A</v>
      </c>
      <c r="B1775" s="74" t="s">
        <v>4215</v>
      </c>
      <c r="C1775" s="74" t="s">
        <v>4216</v>
      </c>
      <c r="D1775" s="74">
        <v>3.2015151515151516</v>
      </c>
      <c r="E1775" s="74">
        <v>10.987079999999999</v>
      </c>
      <c r="F1775" s="74">
        <v>0</v>
      </c>
      <c r="G1775" s="74">
        <v>0</v>
      </c>
      <c r="H1775" s="74">
        <v>0</v>
      </c>
      <c r="I1775" s="74"/>
      <c r="J1775" s="74">
        <v>3.8993954826096466</v>
      </c>
      <c r="K1775" s="74">
        <v>13.382091944432901</v>
      </c>
      <c r="L1775" s="74">
        <v>0</v>
      </c>
      <c r="M1775" s="74">
        <v>0</v>
      </c>
      <c r="N1775" s="74">
        <v>0</v>
      </c>
    </row>
    <row r="1776" spans="1:14" x14ac:dyDescent="0.25">
      <c r="A1776" t="e">
        <f>VLOOKUP(VALUE(RIGHT(B1776,4)),'Waste Lookups'!$B$1:$C$295,2,FALSE)</f>
        <v>#N/A</v>
      </c>
      <c r="B1776" s="74" t="s">
        <v>4217</v>
      </c>
      <c r="C1776" s="74" t="s">
        <v>4218</v>
      </c>
      <c r="D1776" s="74">
        <v>7.4602727272727272</v>
      </c>
      <c r="E1776" s="74">
        <v>8.1514799999999994</v>
      </c>
      <c r="F1776" s="74">
        <v>0</v>
      </c>
      <c r="G1776" s="74">
        <v>0</v>
      </c>
      <c r="H1776" s="74">
        <v>0</v>
      </c>
      <c r="I1776" s="74"/>
      <c r="J1776" s="74">
        <v>5.452436982884306</v>
      </c>
      <c r="K1776" s="74">
        <v>5.9576147738890777</v>
      </c>
      <c r="L1776" s="74">
        <v>0</v>
      </c>
      <c r="M1776" s="74">
        <v>0</v>
      </c>
      <c r="N1776" s="74">
        <v>0</v>
      </c>
    </row>
    <row r="1777" spans="1:14" x14ac:dyDescent="0.25">
      <c r="A1777" t="e">
        <f>VLOOKUP(VALUE(RIGHT(B1777,4)),'Waste Lookups'!$B$1:$C$295,2,FALSE)</f>
        <v>#N/A</v>
      </c>
      <c r="B1777" s="74" t="s">
        <v>4219</v>
      </c>
      <c r="C1777" s="74" t="s">
        <v>4220</v>
      </c>
      <c r="D1777" s="74">
        <v>6.6549393939393946</v>
      </c>
      <c r="E1777" s="74">
        <v>7.6399199999999992</v>
      </c>
      <c r="F1777" s="74">
        <v>0</v>
      </c>
      <c r="G1777" s="74">
        <v>0</v>
      </c>
      <c r="H1777" s="74">
        <v>0</v>
      </c>
      <c r="I1777" s="74"/>
      <c r="J1777" s="74">
        <v>6.5391995800647233</v>
      </c>
      <c r="K1777" s="74">
        <v>7.5070498314718472</v>
      </c>
      <c r="L1777" s="74">
        <v>0</v>
      </c>
      <c r="M1777" s="74">
        <v>0</v>
      </c>
      <c r="N1777" s="74">
        <v>0</v>
      </c>
    </row>
    <row r="1778" spans="1:14" x14ac:dyDescent="0.25">
      <c r="A1778" t="e">
        <f>VLOOKUP(VALUE(RIGHT(B1778,4)),'Waste Lookups'!$B$1:$C$295,2,FALSE)</f>
        <v>#N/A</v>
      </c>
      <c r="B1778" s="74" t="s">
        <v>4221</v>
      </c>
      <c r="C1778" s="74" t="s">
        <v>4222</v>
      </c>
      <c r="D1778" s="74">
        <v>0</v>
      </c>
      <c r="E1778" s="74">
        <v>4.1029200000000001</v>
      </c>
      <c r="F1778" s="74">
        <v>0</v>
      </c>
      <c r="G1778" s="74">
        <v>0</v>
      </c>
      <c r="H1778" s="74">
        <v>6.4536383356339974E-2</v>
      </c>
      <c r="I1778" s="74"/>
      <c r="J1778" s="74">
        <v>0</v>
      </c>
      <c r="K1778" s="74">
        <v>8.370957225634637</v>
      </c>
      <c r="L1778" s="74">
        <v>0</v>
      </c>
      <c r="M1778" s="74">
        <v>0</v>
      </c>
      <c r="N1778" s="74">
        <v>0.13166995812082152</v>
      </c>
    </row>
    <row r="1779" spans="1:14" x14ac:dyDescent="0.25">
      <c r="A1779" t="e">
        <f>VLOOKUP(VALUE(RIGHT(B1779,4)),'Waste Lookups'!$B$1:$C$295,2,FALSE)</f>
        <v>#N/A</v>
      </c>
      <c r="B1779" s="74" t="s">
        <v>4223</v>
      </c>
      <c r="C1779" s="74" t="s">
        <v>4224</v>
      </c>
      <c r="D1779" s="74">
        <v>42.030606060606061</v>
      </c>
      <c r="E1779" s="74">
        <v>0</v>
      </c>
      <c r="F1779" s="74">
        <v>0</v>
      </c>
      <c r="G1779" s="74">
        <v>0</v>
      </c>
      <c r="H1779" s="74">
        <v>0</v>
      </c>
      <c r="I1779" s="74"/>
      <c r="J1779" s="74">
        <v>39.392555555555553</v>
      </c>
      <c r="K1779" s="74">
        <v>0</v>
      </c>
      <c r="L1779" s="74">
        <v>0</v>
      </c>
      <c r="M1779" s="74">
        <v>0</v>
      </c>
      <c r="N1779" s="74">
        <v>0</v>
      </c>
    </row>
    <row r="1780" spans="1:14" x14ac:dyDescent="0.25">
      <c r="A1780" t="e">
        <f>VLOOKUP(VALUE(RIGHT(B1780,4)),'Waste Lookups'!$B$1:$C$295,2,FALSE)</f>
        <v>#N/A</v>
      </c>
      <c r="B1780" s="74" t="s">
        <v>4225</v>
      </c>
      <c r="C1780" s="74" t="s">
        <v>4226</v>
      </c>
      <c r="D1780" s="74">
        <v>1.8143636363636362</v>
      </c>
      <c r="E1780" s="74">
        <v>14.137079999999997</v>
      </c>
      <c r="F1780" s="74">
        <v>0</v>
      </c>
      <c r="G1780" s="74">
        <v>0</v>
      </c>
      <c r="H1780" s="74">
        <v>0</v>
      </c>
      <c r="I1780" s="74"/>
      <c r="J1780" s="74">
        <v>1.9890041901867623</v>
      </c>
      <c r="K1780" s="74">
        <v>15.49783670343021</v>
      </c>
      <c r="L1780" s="74">
        <v>0</v>
      </c>
      <c r="M1780" s="74">
        <v>0</v>
      </c>
      <c r="N1780" s="74">
        <v>0</v>
      </c>
    </row>
    <row r="1781" spans="1:14" x14ac:dyDescent="0.25">
      <c r="A1781" t="e">
        <f>VLOOKUP(VALUE(RIGHT(B1781,4)),'Waste Lookups'!$B$1:$C$295,2,FALSE)</f>
        <v>#N/A</v>
      </c>
      <c r="B1781" s="74" t="s">
        <v>4227</v>
      </c>
      <c r="C1781" s="74" t="s">
        <v>4228</v>
      </c>
      <c r="D1781" s="74">
        <v>0</v>
      </c>
      <c r="E1781" s="74">
        <v>9.768180000000001</v>
      </c>
      <c r="F1781" s="74">
        <v>0</v>
      </c>
      <c r="G1781" s="74">
        <v>0</v>
      </c>
      <c r="H1781" s="74">
        <v>0.62539775192269764</v>
      </c>
      <c r="I1781" s="74"/>
      <c r="J1781" s="74">
        <v>0</v>
      </c>
      <c r="K1781" s="74">
        <v>17.561216387961188</v>
      </c>
      <c r="L1781" s="74">
        <v>0</v>
      </c>
      <c r="M1781" s="74">
        <v>0</v>
      </c>
      <c r="N1781" s="74">
        <v>1.1243389505577257</v>
      </c>
    </row>
    <row r="1782" spans="1:14" x14ac:dyDescent="0.25">
      <c r="A1782" t="e">
        <f>VLOOKUP(VALUE(RIGHT(B1782,4)),'Waste Lookups'!$B$1:$C$295,2,FALSE)</f>
        <v>#N/A</v>
      </c>
      <c r="B1782" s="74" t="s">
        <v>4229</v>
      </c>
      <c r="C1782" s="74" t="s">
        <v>4230</v>
      </c>
      <c r="D1782" s="74">
        <v>4.450181818181818</v>
      </c>
      <c r="E1782" s="74">
        <v>12.145860000000001</v>
      </c>
      <c r="F1782" s="74">
        <v>0</v>
      </c>
      <c r="G1782" s="74">
        <v>0</v>
      </c>
      <c r="H1782" s="74">
        <v>0</v>
      </c>
      <c r="I1782" s="74"/>
      <c r="J1782" s="74">
        <v>8.0731294513298995</v>
      </c>
      <c r="K1782" s="74">
        <v>22.0339536863668</v>
      </c>
      <c r="L1782" s="74">
        <v>0</v>
      </c>
      <c r="M1782" s="74">
        <v>0</v>
      </c>
      <c r="N1782" s="74">
        <v>0</v>
      </c>
    </row>
    <row r="1783" spans="1:14" x14ac:dyDescent="0.25">
      <c r="A1783" t="e">
        <f>VLOOKUP(VALUE(RIGHT(B1783,4)),'Waste Lookups'!$B$1:$C$295,2,FALSE)</f>
        <v>#N/A</v>
      </c>
      <c r="B1783" s="74" t="s">
        <v>4231</v>
      </c>
      <c r="C1783" s="74" t="s">
        <v>4232</v>
      </c>
      <c r="D1783" s="74">
        <v>1.2729696969696971</v>
      </c>
      <c r="E1783" s="74">
        <v>4.1027999999999993</v>
      </c>
      <c r="F1783" s="74">
        <v>0</v>
      </c>
      <c r="G1783" s="74">
        <v>0</v>
      </c>
      <c r="H1783" s="74">
        <v>0</v>
      </c>
      <c r="I1783" s="74"/>
      <c r="J1783" s="74">
        <v>1.393220174898238</v>
      </c>
      <c r="K1783" s="74">
        <v>4.4903690537014889</v>
      </c>
      <c r="L1783" s="74">
        <v>0</v>
      </c>
      <c r="M1783" s="74">
        <v>0</v>
      </c>
      <c r="N1783" s="74">
        <v>0</v>
      </c>
    </row>
    <row r="1784" spans="1:14" x14ac:dyDescent="0.25">
      <c r="A1784" t="e">
        <f>VLOOKUP(VALUE(RIGHT(B1784,4)),'Waste Lookups'!$B$1:$C$295,2,FALSE)</f>
        <v>#N/A</v>
      </c>
      <c r="B1784" s="74" t="s">
        <v>4233</v>
      </c>
      <c r="C1784" s="74" t="s">
        <v>4234</v>
      </c>
      <c r="D1784" s="74">
        <v>0</v>
      </c>
      <c r="E1784" s="74">
        <v>0</v>
      </c>
      <c r="F1784" s="74">
        <v>0</v>
      </c>
      <c r="G1784" s="74">
        <v>0</v>
      </c>
      <c r="H1784" s="74">
        <v>0</v>
      </c>
      <c r="I1784" s="74"/>
      <c r="J1784" s="74">
        <v>0</v>
      </c>
      <c r="K1784" s="74">
        <v>0</v>
      </c>
      <c r="L1784" s="74">
        <v>0</v>
      </c>
      <c r="M1784" s="74">
        <v>0</v>
      </c>
      <c r="N1784" s="74">
        <v>0</v>
      </c>
    </row>
    <row r="1785" spans="1:14" x14ac:dyDescent="0.25">
      <c r="A1785" t="str">
        <f>VLOOKUP(VALUE(RIGHT(B1785,4)),'Waste Lookups'!$B$1:$C$295,2,FALSE)</f>
        <v>St Chads Court</v>
      </c>
      <c r="B1785" s="74" t="s">
        <v>748</v>
      </c>
      <c r="C1785" s="74" t="s">
        <v>4235</v>
      </c>
      <c r="D1785" s="74">
        <v>28.780545454545454</v>
      </c>
      <c r="E1785" s="74">
        <v>5.5379399999999999</v>
      </c>
      <c r="F1785" s="74">
        <v>0</v>
      </c>
      <c r="G1785" s="74">
        <v>10.220219999999999</v>
      </c>
      <c r="H1785" s="74">
        <v>28.016608952869259</v>
      </c>
      <c r="I1785" s="74"/>
      <c r="J1785" s="74">
        <v>14.123932252749649</v>
      </c>
      <c r="K1785" s="74">
        <v>2.7177208820911734</v>
      </c>
      <c r="L1785" s="74">
        <v>0</v>
      </c>
      <c r="M1785" s="74">
        <v>5.0155301995987411</v>
      </c>
      <c r="N1785" s="74">
        <v>13.749033611161424</v>
      </c>
    </row>
    <row r="1786" spans="1:14" x14ac:dyDescent="0.25">
      <c r="A1786" t="e">
        <f>VLOOKUP(VALUE(RIGHT(B1786,4)),'Waste Lookups'!$B$1:$C$295,2,FALSE)</f>
        <v>#N/A</v>
      </c>
      <c r="B1786" s="74" t="s">
        <v>4236</v>
      </c>
      <c r="C1786" s="74" t="s">
        <v>4237</v>
      </c>
      <c r="D1786" s="74">
        <v>3.3333333333333335</v>
      </c>
      <c r="E1786" s="74">
        <v>4.1981999999999999</v>
      </c>
      <c r="F1786" s="74">
        <v>0</v>
      </c>
      <c r="G1786" s="74">
        <v>0</v>
      </c>
      <c r="H1786" s="74">
        <v>0</v>
      </c>
      <c r="I1786" s="74"/>
      <c r="J1786" s="74">
        <v>0</v>
      </c>
      <c r="K1786" s="74">
        <v>0</v>
      </c>
      <c r="L1786" s="74">
        <v>0</v>
      </c>
      <c r="M1786" s="74">
        <v>0</v>
      </c>
      <c r="N1786" s="74">
        <v>0</v>
      </c>
    </row>
    <row r="1787" spans="1:14" x14ac:dyDescent="0.25">
      <c r="A1787" t="e">
        <f>VLOOKUP(VALUE(RIGHT(B1787,4)),'Waste Lookups'!$B$1:$C$295,2,FALSE)</f>
        <v>#N/A</v>
      </c>
      <c r="B1787" s="74" t="s">
        <v>4238</v>
      </c>
      <c r="C1787" s="74" t="s">
        <v>4239</v>
      </c>
      <c r="D1787" s="74">
        <v>0</v>
      </c>
      <c r="E1787" s="74">
        <v>5.9749200000000009</v>
      </c>
      <c r="F1787" s="74">
        <v>0</v>
      </c>
      <c r="G1787" s="74">
        <v>0.23759999999999998</v>
      </c>
      <c r="H1787" s="74">
        <v>0</v>
      </c>
      <c r="I1787" s="74"/>
      <c r="J1787" s="74">
        <v>0</v>
      </c>
      <c r="K1787" s="74">
        <v>5.1799649075541465</v>
      </c>
      <c r="L1787" s="74">
        <v>0</v>
      </c>
      <c r="M1787" s="74">
        <v>0.20598763866877964</v>
      </c>
      <c r="N1787" s="74">
        <v>0</v>
      </c>
    </row>
    <row r="1788" spans="1:14" x14ac:dyDescent="0.25">
      <c r="A1788" t="e">
        <f>VLOOKUP(VALUE(RIGHT(B1788,4)),'Waste Lookups'!$B$1:$C$295,2,FALSE)</f>
        <v>#N/A</v>
      </c>
      <c r="B1788" s="74" t="s">
        <v>4240</v>
      </c>
      <c r="C1788" s="74" t="s">
        <v>4241</v>
      </c>
      <c r="D1788" s="74">
        <v>0</v>
      </c>
      <c r="E1788" s="74">
        <v>0.46800000000000003</v>
      </c>
      <c r="F1788" s="74">
        <v>0</v>
      </c>
      <c r="G1788" s="74">
        <v>0</v>
      </c>
      <c r="H1788" s="74">
        <v>0</v>
      </c>
      <c r="I1788" s="74"/>
      <c r="J1788" s="74">
        <v>0</v>
      </c>
      <c r="K1788" s="74">
        <v>0</v>
      </c>
      <c r="L1788" s="74">
        <v>0</v>
      </c>
      <c r="M1788" s="74">
        <v>0</v>
      </c>
      <c r="N1788" s="74">
        <v>0</v>
      </c>
    </row>
    <row r="1789" spans="1:14" x14ac:dyDescent="0.25">
      <c r="A1789" t="e">
        <f>VLOOKUP(VALUE(RIGHT(B1789,4)),'Waste Lookups'!$B$1:$C$295,2,FALSE)</f>
        <v>#N/A</v>
      </c>
      <c r="B1789" s="74" t="s">
        <v>4242</v>
      </c>
      <c r="C1789" s="74" t="s">
        <v>4243</v>
      </c>
      <c r="D1789" s="74">
        <v>0</v>
      </c>
      <c r="E1789" s="74">
        <v>0</v>
      </c>
      <c r="F1789" s="74">
        <v>0</v>
      </c>
      <c r="G1789" s="74">
        <v>4.266</v>
      </c>
      <c r="H1789" s="74">
        <v>0</v>
      </c>
      <c r="I1789" s="74"/>
      <c r="J1789" s="74">
        <v>0</v>
      </c>
      <c r="K1789" s="74">
        <v>0</v>
      </c>
      <c r="L1789" s="74">
        <v>0</v>
      </c>
      <c r="M1789" s="74">
        <v>0</v>
      </c>
      <c r="N1789" s="74">
        <v>0</v>
      </c>
    </row>
    <row r="1790" spans="1:14" x14ac:dyDescent="0.25">
      <c r="A1790" t="e">
        <f>VLOOKUP(VALUE(RIGHT(B1790,4)),'Waste Lookups'!$B$1:$C$295,2,FALSE)</f>
        <v>#N/A</v>
      </c>
      <c r="B1790" s="74" t="s">
        <v>4244</v>
      </c>
      <c r="C1790" s="74" t="s">
        <v>4245</v>
      </c>
      <c r="D1790" s="74">
        <v>0.47933333333333339</v>
      </c>
      <c r="E1790" s="74">
        <v>0</v>
      </c>
      <c r="F1790" s="74">
        <v>0</v>
      </c>
      <c r="G1790" s="74">
        <v>0</v>
      </c>
      <c r="H1790" s="74">
        <v>1.6072253993295207</v>
      </c>
      <c r="I1790" s="74"/>
      <c r="J1790" s="74">
        <v>0</v>
      </c>
      <c r="K1790" s="74">
        <v>0</v>
      </c>
      <c r="L1790" s="74">
        <v>0</v>
      </c>
      <c r="M1790" s="74">
        <v>0</v>
      </c>
      <c r="N1790" s="74">
        <v>0</v>
      </c>
    </row>
    <row r="1791" spans="1:14" x14ac:dyDescent="0.25">
      <c r="A1791" t="e">
        <f>VLOOKUP(VALUE(RIGHT(B1791,4)),'Waste Lookups'!$B$1:$C$295,2,FALSE)</f>
        <v>#N/A</v>
      </c>
      <c r="B1791" s="74" t="s">
        <v>4246</v>
      </c>
      <c r="C1791" s="74" t="s">
        <v>4247</v>
      </c>
      <c r="D1791" s="74">
        <v>0.61830303030303024</v>
      </c>
      <c r="E1791" s="74">
        <v>0</v>
      </c>
      <c r="F1791" s="74">
        <v>0</v>
      </c>
      <c r="G1791" s="74">
        <v>0</v>
      </c>
      <c r="H1791" s="74">
        <v>0</v>
      </c>
      <c r="I1791" s="74"/>
      <c r="J1791" s="74">
        <v>0</v>
      </c>
      <c r="K1791" s="74">
        <v>0</v>
      </c>
      <c r="L1791" s="74">
        <v>0</v>
      </c>
      <c r="M1791" s="74">
        <v>0</v>
      </c>
      <c r="N1791" s="74">
        <v>0</v>
      </c>
    </row>
    <row r="1792" spans="1:14" x14ac:dyDescent="0.25">
      <c r="A1792" t="str">
        <f>VLOOKUP(VALUE(RIGHT(B1792,4)),'Waste Lookups'!$B$1:$C$295,2,FALSE)</f>
        <v>Southside (4th Floor)</v>
      </c>
      <c r="B1792" s="74" t="s">
        <v>752</v>
      </c>
      <c r="C1792" s="74" t="s">
        <v>4248</v>
      </c>
      <c r="D1792" s="74">
        <v>15.542242424242424</v>
      </c>
      <c r="E1792" s="74">
        <v>0</v>
      </c>
      <c r="F1792" s="74">
        <v>0</v>
      </c>
      <c r="G1792" s="74">
        <v>0.99053999999999998</v>
      </c>
      <c r="H1792" s="74">
        <v>34.647954249654894</v>
      </c>
      <c r="I1792" s="74"/>
      <c r="J1792" s="74">
        <v>27.798362260037951</v>
      </c>
      <c r="K1792" s="74">
        <v>0</v>
      </c>
      <c r="L1792" s="74">
        <v>0</v>
      </c>
      <c r="M1792" s="74">
        <v>1.7716484533859111</v>
      </c>
      <c r="N1792" s="74">
        <v>61.970232963218969</v>
      </c>
    </row>
    <row r="1793" spans="1:14" x14ac:dyDescent="0.25">
      <c r="A1793" t="e">
        <f>VLOOKUP(VALUE(RIGHT(B1793,4)),'Waste Lookups'!$B$1:$C$295,2,FALSE)</f>
        <v>#N/A</v>
      </c>
      <c r="B1793" s="74" t="s">
        <v>4249</v>
      </c>
      <c r="C1793" s="74" t="s">
        <v>4250</v>
      </c>
      <c r="D1793" s="74">
        <v>0.19563636363636366</v>
      </c>
      <c r="E1793" s="74">
        <v>0</v>
      </c>
      <c r="F1793" s="74">
        <v>0</v>
      </c>
      <c r="G1793" s="74">
        <v>0</v>
      </c>
      <c r="H1793" s="74">
        <v>0</v>
      </c>
      <c r="I1793" s="74"/>
      <c r="J1793" s="74">
        <v>0</v>
      </c>
      <c r="K1793" s="74">
        <v>0</v>
      </c>
      <c r="L1793" s="74">
        <v>0</v>
      </c>
      <c r="M1793" s="74">
        <v>0</v>
      </c>
      <c r="N1793" s="74">
        <v>0</v>
      </c>
    </row>
    <row r="1794" spans="1:14" x14ac:dyDescent="0.25">
      <c r="A1794" t="str">
        <f>VLOOKUP(VALUE(RIGHT(B1794,4)),'Waste Lookups'!$B$1:$C$295,2,FALSE)</f>
        <v>Victoria House East Wing</v>
      </c>
      <c r="B1794" s="74" t="s">
        <v>744</v>
      </c>
      <c r="C1794" s="74" t="s">
        <v>4251</v>
      </c>
      <c r="D1794" s="74">
        <v>0</v>
      </c>
      <c r="E1794" s="74">
        <v>1.1976600000000002</v>
      </c>
      <c r="F1794" s="74">
        <v>0</v>
      </c>
      <c r="G1794" s="74">
        <v>16.262370000000004</v>
      </c>
      <c r="H1794" s="74">
        <v>15.201167422599093</v>
      </c>
      <c r="I1794" s="74"/>
      <c r="J1794" s="74">
        <v>0</v>
      </c>
      <c r="K1794" s="74">
        <v>1.1545811894530675</v>
      </c>
      <c r="L1794" s="74">
        <v>0</v>
      </c>
      <c r="M1794" s="74">
        <v>15.677426396411239</v>
      </c>
      <c r="N1794" s="74">
        <v>14.654394372242276</v>
      </c>
    </row>
    <row r="1795" spans="1:14" x14ac:dyDescent="0.25">
      <c r="A1795" t="e">
        <f>VLOOKUP(VALUE(RIGHT(B1795,4)),'Waste Lookups'!$B$1:$C$295,2,FALSE)</f>
        <v>#N/A</v>
      </c>
      <c r="B1795" s="74" t="s">
        <v>4252</v>
      </c>
      <c r="C1795" s="74" t="s">
        <v>4253</v>
      </c>
      <c r="D1795" s="74">
        <v>0</v>
      </c>
      <c r="E1795" s="74">
        <v>0</v>
      </c>
      <c r="F1795" s="74">
        <v>0</v>
      </c>
      <c r="G1795" s="74">
        <v>0</v>
      </c>
      <c r="H1795" s="74">
        <v>0</v>
      </c>
      <c r="I1795" s="74"/>
      <c r="J1795" s="74">
        <v>0</v>
      </c>
      <c r="K1795" s="74">
        <v>0</v>
      </c>
      <c r="L1795" s="74">
        <v>0</v>
      </c>
      <c r="M1795" s="74">
        <v>0</v>
      </c>
      <c r="N1795" s="74">
        <v>0</v>
      </c>
    </row>
    <row r="1796" spans="1:14" x14ac:dyDescent="0.25">
      <c r="A1796" t="str">
        <f>VLOOKUP(VALUE(RIGHT(B1796,4)),'Waste Lookups'!$B$1:$C$295,2,FALSE)</f>
        <v>Waterfront 4 (Ground Floor)</v>
      </c>
      <c r="B1796" s="74" t="s">
        <v>745</v>
      </c>
      <c r="C1796" s="74" t="s">
        <v>4254</v>
      </c>
      <c r="D1796" s="74">
        <v>0</v>
      </c>
      <c r="E1796" s="74">
        <v>1.23834</v>
      </c>
      <c r="F1796" s="74">
        <v>0</v>
      </c>
      <c r="G1796" s="74">
        <v>8.6486399999999986</v>
      </c>
      <c r="H1796" s="74">
        <v>23.683129954644052</v>
      </c>
      <c r="I1796" s="74"/>
      <c r="J1796" s="74">
        <v>0</v>
      </c>
      <c r="K1796" s="74">
        <v>0.72037248959614497</v>
      </c>
      <c r="L1796" s="74">
        <v>0</v>
      </c>
      <c r="M1796" s="74">
        <v>5.0311241891732505</v>
      </c>
      <c r="N1796" s="74">
        <v>13.777052575912895</v>
      </c>
    </row>
    <row r="1797" spans="1:14" x14ac:dyDescent="0.25">
      <c r="A1797" t="str">
        <f>VLOOKUP(VALUE(RIGHT(B1797,4)),'Waste Lookups'!$B$1:$C$295,2,FALSE)</f>
        <v>Waterfront 4 (1st Floor)</v>
      </c>
      <c r="B1797" s="74" t="s">
        <v>4255</v>
      </c>
      <c r="C1797" s="74" t="s">
        <v>4256</v>
      </c>
      <c r="D1797" s="74">
        <v>0</v>
      </c>
      <c r="E1797" s="74">
        <v>0.80628</v>
      </c>
      <c r="F1797" s="74">
        <v>0</v>
      </c>
      <c r="G1797" s="74">
        <v>0</v>
      </c>
      <c r="H1797" s="74">
        <v>3.1168290278051667</v>
      </c>
      <c r="I1797" s="74"/>
      <c r="J1797" s="74">
        <v>0</v>
      </c>
      <c r="K1797" s="74">
        <v>3.0663462496726113</v>
      </c>
      <c r="L1797" s="74">
        <v>0</v>
      </c>
      <c r="M1797" s="74">
        <v>0</v>
      </c>
      <c r="N1797" s="74">
        <v>11.853545914919263</v>
      </c>
    </row>
    <row r="1798" spans="1:14" x14ac:dyDescent="0.25">
      <c r="A1798" t="str">
        <f>VLOOKUP(VALUE(RIGHT(B1798,4)),'Waste Lookups'!$B$1:$C$295,2,FALSE)</f>
        <v>Waterfront 4 (2nd Floor)</v>
      </c>
      <c r="B1798" s="74" t="s">
        <v>746</v>
      </c>
      <c r="C1798" s="74" t="s">
        <v>4257</v>
      </c>
      <c r="D1798" s="74">
        <v>0</v>
      </c>
      <c r="E1798" s="74">
        <v>2.32782</v>
      </c>
      <c r="F1798" s="74">
        <v>0</v>
      </c>
      <c r="G1798" s="74">
        <v>0</v>
      </c>
      <c r="H1798" s="74">
        <v>3.0373180832183002</v>
      </c>
      <c r="I1798" s="74"/>
      <c r="J1798" s="74">
        <v>0</v>
      </c>
      <c r="K1798" s="74">
        <v>6.6395346245711568</v>
      </c>
      <c r="L1798" s="74">
        <v>0</v>
      </c>
      <c r="M1798" s="74">
        <v>0</v>
      </c>
      <c r="N1798" s="74">
        <v>8.6632035893514097</v>
      </c>
    </row>
    <row r="1799" spans="1:14" x14ac:dyDescent="0.25">
      <c r="A1799" t="str">
        <f>VLOOKUP(VALUE(RIGHT(B1799,4)),'Waste Lookups'!$B$1:$C$295,2,FALSE)</f>
        <v>3 Piccadilly Place (3rd Floor)</v>
      </c>
      <c r="B1799" s="74" t="s">
        <v>751</v>
      </c>
      <c r="C1799" s="74" t="s">
        <v>4258</v>
      </c>
      <c r="D1799" s="74">
        <v>0</v>
      </c>
      <c r="E1799" s="74">
        <v>0</v>
      </c>
      <c r="F1799" s="74">
        <v>0</v>
      </c>
      <c r="G1799" s="74">
        <v>0</v>
      </c>
      <c r="H1799" s="74">
        <v>13.251824097811083</v>
      </c>
      <c r="I1799" s="74"/>
      <c r="J1799" s="74">
        <v>0</v>
      </c>
      <c r="K1799" s="74">
        <v>0</v>
      </c>
      <c r="L1799" s="74">
        <v>0</v>
      </c>
      <c r="M1799" s="74">
        <v>0</v>
      </c>
      <c r="N1799" s="74">
        <v>25.361561822125811</v>
      </c>
    </row>
    <row r="1800" spans="1:14" x14ac:dyDescent="0.25">
      <c r="A1800" t="str">
        <f>VLOOKUP(VALUE(RIGHT(B1800,4)),'Waste Lookups'!$B$1:$C$295,2,FALSE)</f>
        <v>Rivergate House</v>
      </c>
      <c r="B1800" s="74" t="s">
        <v>4259</v>
      </c>
      <c r="C1800" s="74" t="s">
        <v>4260</v>
      </c>
      <c r="D1800" s="74">
        <v>0</v>
      </c>
      <c r="E1800" s="74">
        <v>0</v>
      </c>
      <c r="F1800" s="74">
        <v>0</v>
      </c>
      <c r="G1800" s="74">
        <v>0</v>
      </c>
      <c r="H1800" s="74">
        <v>10.76750463419444</v>
      </c>
      <c r="I1800" s="74"/>
      <c r="J1800" s="74">
        <v>0</v>
      </c>
      <c r="K1800" s="74">
        <v>0</v>
      </c>
      <c r="L1800" s="74">
        <v>0</v>
      </c>
      <c r="M1800" s="74">
        <v>0</v>
      </c>
      <c r="N1800" s="74">
        <v>4.0656485900216923</v>
      </c>
    </row>
    <row r="1801" spans="1:14" x14ac:dyDescent="0.25">
      <c r="A1801" t="str">
        <f>VLOOKUP(VALUE(RIGHT(B1801,4)),'Waste Lookups'!$B$1:$C$295,2,FALSE)</f>
        <v>York House</v>
      </c>
      <c r="B1801" s="74" t="s">
        <v>747</v>
      </c>
      <c r="C1801" s="74" t="s">
        <v>4261</v>
      </c>
      <c r="D1801" s="74">
        <v>0</v>
      </c>
      <c r="E1801" s="74">
        <v>12.844799999999999</v>
      </c>
      <c r="F1801" s="74">
        <v>0</v>
      </c>
      <c r="G1801" s="74">
        <v>0</v>
      </c>
      <c r="H1801" s="74">
        <v>11.079364227962927</v>
      </c>
      <c r="I1801" s="74"/>
      <c r="J1801" s="74">
        <v>0</v>
      </c>
      <c r="K1801" s="74">
        <v>11.527007901501188</v>
      </c>
      <c r="L1801" s="74">
        <v>0</v>
      </c>
      <c r="M1801" s="74">
        <v>0</v>
      </c>
      <c r="N1801" s="74">
        <v>9.9426942419763851</v>
      </c>
    </row>
    <row r="1802" spans="1:14" x14ac:dyDescent="0.25">
      <c r="A1802" t="str">
        <f>VLOOKUP(VALUE(RIGHT(B1802,4)),'Waste Lookups'!$B$1:$C$295,2,FALSE)</f>
        <v>South West House</v>
      </c>
      <c r="B1802" s="74" t="s">
        <v>743</v>
      </c>
      <c r="C1802" s="74" t="s">
        <v>4262</v>
      </c>
      <c r="D1802" s="74">
        <v>0</v>
      </c>
      <c r="E1802" s="74">
        <v>61.71846</v>
      </c>
      <c r="F1802" s="74">
        <v>0</v>
      </c>
      <c r="G1802" s="74">
        <v>6.8445000000000009</v>
      </c>
      <c r="H1802" s="74">
        <v>5.3802405837112994</v>
      </c>
      <c r="I1802" s="74"/>
      <c r="J1802" s="74">
        <v>0</v>
      </c>
      <c r="K1802" s="74">
        <v>29.686889355812639</v>
      </c>
      <c r="L1802" s="74">
        <v>0</v>
      </c>
      <c r="M1802" s="74">
        <v>3.2922388892376717</v>
      </c>
      <c r="N1802" s="74">
        <v>2.5879227530351563</v>
      </c>
    </row>
    <row r="1803" spans="1:14" x14ac:dyDescent="0.25">
      <c r="A1803" t="e">
        <f>VLOOKUP(VALUE(RIGHT(B1803,4)),'Waste Lookups'!$B$1:$C$295,2,FALSE)</f>
        <v>#N/A</v>
      </c>
      <c r="B1803" s="74" t="s">
        <v>4263</v>
      </c>
      <c r="C1803" s="74" t="s">
        <v>4264</v>
      </c>
      <c r="D1803" s="74">
        <v>0</v>
      </c>
      <c r="E1803" s="74">
        <v>2.6074200000000003</v>
      </c>
      <c r="F1803" s="74">
        <v>0</v>
      </c>
      <c r="G1803" s="74">
        <v>1.512</v>
      </c>
      <c r="H1803" s="74">
        <v>12.045908104910273</v>
      </c>
      <c r="I1803" s="74"/>
      <c r="J1803" s="74">
        <v>0</v>
      </c>
      <c r="K1803" s="74">
        <v>5.3778019553726155</v>
      </c>
      <c r="L1803" s="74">
        <v>0</v>
      </c>
      <c r="M1803" s="74">
        <v>3.1184989593250778</v>
      </c>
      <c r="N1803" s="74">
        <v>24.844677175455168</v>
      </c>
    </row>
    <row r="1804" spans="1:14" x14ac:dyDescent="0.25">
      <c r="A1804" t="e">
        <f>VLOOKUP(VALUE(RIGHT(B1804,4)),'Waste Lookups'!$B$1:$C$295,2,FALSE)</f>
        <v>#N/A</v>
      </c>
      <c r="B1804" s="74" t="s">
        <v>4265</v>
      </c>
      <c r="C1804" s="74" t="s">
        <v>4266</v>
      </c>
      <c r="D1804" s="74">
        <v>0</v>
      </c>
      <c r="E1804" s="74">
        <v>0</v>
      </c>
      <c r="F1804" s="74">
        <v>0</v>
      </c>
      <c r="G1804" s="74">
        <v>0</v>
      </c>
      <c r="H1804" s="74">
        <v>0</v>
      </c>
      <c r="I1804" s="74"/>
      <c r="J1804" s="74">
        <v>0</v>
      </c>
      <c r="K1804" s="74">
        <v>0</v>
      </c>
      <c r="L1804" s="74">
        <v>0</v>
      </c>
      <c r="M1804" s="74">
        <v>0</v>
      </c>
      <c r="N1804" s="74">
        <v>0</v>
      </c>
    </row>
    <row r="1805" spans="1:14" x14ac:dyDescent="0.25">
      <c r="A1805" t="e">
        <f>VLOOKUP(VALUE(RIGHT(B1805,4)),'Waste Lookups'!$B$1:$C$295,2,FALSE)</f>
        <v>#N/A</v>
      </c>
      <c r="B1805" s="74" t="s">
        <v>4267</v>
      </c>
      <c r="C1805" s="74" t="s">
        <v>4268</v>
      </c>
      <c r="D1805" s="74">
        <v>1.1053030303030305</v>
      </c>
      <c r="E1805" s="74">
        <v>0</v>
      </c>
      <c r="F1805" s="74">
        <v>0</v>
      </c>
      <c r="G1805" s="74">
        <v>0</v>
      </c>
      <c r="H1805" s="74">
        <v>6.7478288306054024</v>
      </c>
      <c r="I1805" s="74"/>
      <c r="J1805" s="74">
        <v>10.334428062696885</v>
      </c>
      <c r="K1805" s="74">
        <v>0</v>
      </c>
      <c r="L1805" s="74">
        <v>0</v>
      </c>
      <c r="M1805" s="74">
        <v>0</v>
      </c>
      <c r="N1805" s="74">
        <v>63.091251645410757</v>
      </c>
    </row>
    <row r="1806" spans="1:14" x14ac:dyDescent="0.25">
      <c r="A1806" t="e">
        <f>VLOOKUP(VALUE(RIGHT(B1806,4)),'Waste Lookups'!$B$1:$C$295,2,FALSE)</f>
        <v>#N/A</v>
      </c>
      <c r="B1806" s="74" t="s">
        <v>4269</v>
      </c>
      <c r="C1806" s="74" t="s">
        <v>4270</v>
      </c>
      <c r="D1806" s="74">
        <v>0</v>
      </c>
      <c r="E1806" s="74">
        <v>0.56274000000000002</v>
      </c>
      <c r="F1806" s="74">
        <v>0</v>
      </c>
      <c r="G1806" s="74">
        <v>1.72404</v>
      </c>
      <c r="H1806" s="74">
        <v>0</v>
      </c>
      <c r="I1806" s="74"/>
      <c r="J1806" s="74">
        <v>0</v>
      </c>
      <c r="K1806" s="74">
        <v>1.2160094540038551</v>
      </c>
      <c r="L1806" s="74">
        <v>0</v>
      </c>
      <c r="M1806" s="74">
        <v>3.725430818994218</v>
      </c>
      <c r="N1806" s="74">
        <v>0</v>
      </c>
    </row>
    <row r="1807" spans="1:14" x14ac:dyDescent="0.25">
      <c r="A1807" t="e">
        <f>VLOOKUP(VALUE(RIGHT(B1807,4)),'Waste Lookups'!$B$1:$C$295,2,FALSE)</f>
        <v>#N/A</v>
      </c>
      <c r="B1807" s="74" t="s">
        <v>4271</v>
      </c>
      <c r="C1807" s="74" t="s">
        <v>4272</v>
      </c>
      <c r="D1807" s="74">
        <v>0</v>
      </c>
      <c r="E1807" s="74">
        <v>0</v>
      </c>
      <c r="F1807" s="74">
        <v>0</v>
      </c>
      <c r="G1807" s="74">
        <v>0</v>
      </c>
      <c r="H1807" s="74">
        <v>0</v>
      </c>
      <c r="I1807" s="74"/>
      <c r="J1807" s="74">
        <v>0</v>
      </c>
      <c r="K1807" s="74">
        <v>0</v>
      </c>
      <c r="L1807" s="74">
        <v>0</v>
      </c>
      <c r="M1807" s="74">
        <v>0</v>
      </c>
      <c r="N1807" s="74">
        <v>0</v>
      </c>
    </row>
    <row r="1808" spans="1:14" x14ac:dyDescent="0.25">
      <c r="A1808" t="e">
        <f>VLOOKUP(VALUE(RIGHT(B1808,4)),'Waste Lookups'!$B$1:$C$295,2,FALSE)</f>
        <v>#N/A</v>
      </c>
      <c r="B1808" s="74" t="s">
        <v>4273</v>
      </c>
      <c r="C1808" s="74" t="s">
        <v>4274</v>
      </c>
      <c r="D1808" s="74">
        <v>46.003030303030307</v>
      </c>
      <c r="E1808" s="74">
        <v>0</v>
      </c>
      <c r="F1808" s="74">
        <v>0</v>
      </c>
      <c r="G1808" s="74">
        <v>0</v>
      </c>
      <c r="H1808" s="74">
        <v>0</v>
      </c>
      <c r="I1808" s="74"/>
      <c r="J1808" s="74">
        <v>97.519027777777779</v>
      </c>
      <c r="K1808" s="74">
        <v>0</v>
      </c>
      <c r="L1808" s="74">
        <v>0</v>
      </c>
      <c r="M1808" s="74">
        <v>0</v>
      </c>
      <c r="N1808" s="74">
        <v>0</v>
      </c>
    </row>
    <row r="1809" spans="1:14" x14ac:dyDescent="0.25">
      <c r="A1809" t="e">
        <f>VLOOKUP(VALUE(RIGHT(B1809,4)),'Waste Lookups'!$B$1:$C$295,2,FALSE)</f>
        <v>#N/A</v>
      </c>
      <c r="B1809" s="74" t="s">
        <v>4275</v>
      </c>
      <c r="C1809" s="74" t="s">
        <v>4276</v>
      </c>
      <c r="D1809" s="74">
        <v>0</v>
      </c>
      <c r="E1809" s="74">
        <v>0</v>
      </c>
      <c r="F1809" s="74">
        <v>0</v>
      </c>
      <c r="G1809" s="74">
        <v>0</v>
      </c>
      <c r="H1809" s="74">
        <v>0.4417274699270361</v>
      </c>
      <c r="I1809" s="74"/>
      <c r="J1809" s="74">
        <v>0</v>
      </c>
      <c r="K1809" s="74">
        <v>0</v>
      </c>
      <c r="L1809" s="74">
        <v>0</v>
      </c>
      <c r="M1809" s="74">
        <v>0</v>
      </c>
      <c r="N1809" s="74">
        <v>38.89712219812003</v>
      </c>
    </row>
    <row r="1810" spans="1:14" x14ac:dyDescent="0.25">
      <c r="A1810" t="e">
        <f>VLOOKUP(VALUE(RIGHT(B1810,4)),'Waste Lookups'!$B$1:$C$295,2,FALSE)</f>
        <v>#N/A</v>
      </c>
      <c r="B1810" s="74" t="s">
        <v>4277</v>
      </c>
      <c r="C1810" s="74" t="s">
        <v>4278</v>
      </c>
      <c r="D1810" s="74">
        <v>5.7014545454545456</v>
      </c>
      <c r="E1810" s="74">
        <v>0.89262000000000008</v>
      </c>
      <c r="F1810" s="74">
        <v>0</v>
      </c>
      <c r="G1810" s="74">
        <v>0</v>
      </c>
      <c r="H1810" s="74">
        <v>0</v>
      </c>
      <c r="I1810" s="74"/>
      <c r="J1810" s="74">
        <v>0</v>
      </c>
      <c r="K1810" s="74">
        <v>0</v>
      </c>
      <c r="L1810" s="74">
        <v>0</v>
      </c>
      <c r="M1810" s="74">
        <v>0</v>
      </c>
      <c r="N1810" s="74">
        <v>0</v>
      </c>
    </row>
    <row r="1811" spans="1:14" x14ac:dyDescent="0.25">
      <c r="A1811" t="e">
        <f>VLOOKUP(VALUE(RIGHT(B1811,4)),'Waste Lookups'!$B$1:$C$295,2,FALSE)</f>
        <v>#N/A</v>
      </c>
      <c r="B1811" s="74" t="s">
        <v>4279</v>
      </c>
      <c r="C1811" s="74" t="s">
        <v>4280</v>
      </c>
      <c r="D1811" s="74">
        <v>0</v>
      </c>
      <c r="E1811" s="74">
        <v>7.4043000000000001</v>
      </c>
      <c r="F1811" s="74">
        <v>0</v>
      </c>
      <c r="G1811" s="74">
        <v>0</v>
      </c>
      <c r="H1811" s="74">
        <v>0</v>
      </c>
      <c r="I1811" s="74"/>
      <c r="J1811" s="74">
        <v>0</v>
      </c>
      <c r="K1811" s="74">
        <v>0</v>
      </c>
      <c r="L1811" s="74">
        <v>0</v>
      </c>
      <c r="M1811" s="74">
        <v>0</v>
      </c>
      <c r="N1811" s="74">
        <v>0</v>
      </c>
    </row>
    <row r="1812" spans="1:14" x14ac:dyDescent="0.25">
      <c r="A1812" t="e">
        <f>VLOOKUP(VALUE(RIGHT(B1812,4)),'Waste Lookups'!$B$1:$C$295,2,FALSE)</f>
        <v>#N/A</v>
      </c>
      <c r="B1812" s="74" t="s">
        <v>4281</v>
      </c>
      <c r="C1812" s="74" t="s">
        <v>4282</v>
      </c>
      <c r="D1812" s="74">
        <v>0</v>
      </c>
      <c r="E1812" s="74">
        <v>0</v>
      </c>
      <c r="F1812" s="74">
        <v>0</v>
      </c>
      <c r="G1812" s="74">
        <v>0</v>
      </c>
      <c r="H1812" s="74">
        <v>0</v>
      </c>
      <c r="I1812" s="74"/>
      <c r="J1812" s="74">
        <v>0</v>
      </c>
      <c r="K1812" s="74">
        <v>0</v>
      </c>
      <c r="L1812" s="74">
        <v>0</v>
      </c>
      <c r="M1812" s="74">
        <v>0</v>
      </c>
      <c r="N1812" s="74">
        <v>0</v>
      </c>
    </row>
    <row r="1813" spans="1:14" x14ac:dyDescent="0.25">
      <c r="A1813" t="e">
        <f>VLOOKUP(VALUE(RIGHT(B1813,4)),'Waste Lookups'!$B$1:$C$295,2,FALSE)</f>
        <v>#N/A</v>
      </c>
      <c r="B1813" s="74" t="s">
        <v>4283</v>
      </c>
      <c r="C1813" s="74" t="s">
        <v>4284</v>
      </c>
      <c r="D1813" s="74">
        <v>0</v>
      </c>
      <c r="E1813" s="74">
        <v>0</v>
      </c>
      <c r="F1813" s="74">
        <v>0</v>
      </c>
      <c r="G1813" s="74">
        <v>15.80256</v>
      </c>
      <c r="H1813" s="74">
        <v>0</v>
      </c>
      <c r="I1813" s="74"/>
      <c r="J1813" s="74">
        <v>0</v>
      </c>
      <c r="K1813" s="74">
        <v>0</v>
      </c>
      <c r="L1813" s="74">
        <v>0</v>
      </c>
      <c r="M1813" s="74">
        <v>1216.3858574999999</v>
      </c>
      <c r="N1813" s="74">
        <v>0</v>
      </c>
    </row>
    <row r="1814" spans="1:14" x14ac:dyDescent="0.25">
      <c r="A1814" t="e">
        <f>VLOOKUP(VALUE(RIGHT(B1814,4)),'Waste Lookups'!$B$1:$C$295,2,FALSE)</f>
        <v>#N/A</v>
      </c>
      <c r="B1814" s="74" t="s">
        <v>4285</v>
      </c>
      <c r="C1814" s="74" t="s">
        <v>4286</v>
      </c>
      <c r="D1814" s="74">
        <v>0.44354545454545463</v>
      </c>
      <c r="E1814" s="74">
        <v>0</v>
      </c>
      <c r="F1814" s="74">
        <v>0</v>
      </c>
      <c r="G1814" s="74">
        <v>1.0984500000000001</v>
      </c>
      <c r="H1814" s="74">
        <v>0</v>
      </c>
      <c r="I1814" s="74"/>
      <c r="J1814" s="74">
        <v>0</v>
      </c>
      <c r="K1814" s="74">
        <v>0</v>
      </c>
      <c r="L1814" s="74">
        <v>0</v>
      </c>
      <c r="M1814" s="74">
        <v>0</v>
      </c>
      <c r="N1814" s="74">
        <v>0</v>
      </c>
    </row>
    <row r="1815" spans="1:14" x14ac:dyDescent="0.25">
      <c r="A1815" t="e">
        <f>VLOOKUP(VALUE(RIGHT(B1815,4)),'Waste Lookups'!$B$1:$C$295,2,FALSE)</f>
        <v>#N/A</v>
      </c>
      <c r="B1815" s="74" t="s">
        <v>4287</v>
      </c>
      <c r="C1815" s="74" t="s">
        <v>4288</v>
      </c>
      <c r="D1815" s="74">
        <v>0</v>
      </c>
      <c r="E1815" s="74">
        <v>0</v>
      </c>
      <c r="F1815" s="74">
        <v>0</v>
      </c>
      <c r="G1815" s="74">
        <v>0</v>
      </c>
      <c r="H1815" s="74">
        <v>0</v>
      </c>
      <c r="I1815" s="74"/>
      <c r="J1815" s="74">
        <v>0</v>
      </c>
      <c r="K1815" s="74">
        <v>0</v>
      </c>
      <c r="L1815" s="74">
        <v>0</v>
      </c>
      <c r="M1815" s="74">
        <v>0</v>
      </c>
      <c r="N1815" s="74">
        <v>0</v>
      </c>
    </row>
    <row r="1816" spans="1:14" x14ac:dyDescent="0.25">
      <c r="A1816" t="e">
        <f>VLOOKUP(VALUE(RIGHT(B1816,4)),'Waste Lookups'!$B$1:$C$295,2,FALSE)</f>
        <v>#N/A</v>
      </c>
      <c r="B1816" s="74" t="s">
        <v>4289</v>
      </c>
      <c r="C1816" s="74" t="s">
        <v>4290</v>
      </c>
      <c r="D1816" s="74">
        <v>0</v>
      </c>
      <c r="E1816" s="74">
        <v>0</v>
      </c>
      <c r="F1816" s="74">
        <v>0</v>
      </c>
      <c r="G1816" s="74">
        <v>0</v>
      </c>
      <c r="H1816" s="74">
        <v>0</v>
      </c>
      <c r="I1816" s="74"/>
      <c r="J1816" s="74">
        <v>0</v>
      </c>
      <c r="K1816" s="74">
        <v>0</v>
      </c>
      <c r="L1816" s="74">
        <v>0</v>
      </c>
      <c r="M1816" s="74">
        <v>0</v>
      </c>
      <c r="N1816" s="74">
        <v>0</v>
      </c>
    </row>
    <row r="1817" spans="1:14" x14ac:dyDescent="0.25">
      <c r="A1817" t="e">
        <f>VLOOKUP(VALUE(RIGHT(B1817,4)),'Waste Lookups'!$B$1:$C$295,2,FALSE)</f>
        <v>#N/A</v>
      </c>
      <c r="B1817" s="74" t="s">
        <v>4291</v>
      </c>
      <c r="C1817" s="74" t="s">
        <v>4292</v>
      </c>
      <c r="D1817" s="74">
        <v>0</v>
      </c>
      <c r="E1817" s="74">
        <v>3.1097999999999999</v>
      </c>
      <c r="F1817" s="74">
        <v>0.14845454545454548</v>
      </c>
      <c r="G1817" s="74">
        <v>0</v>
      </c>
      <c r="H1817" s="74">
        <v>0</v>
      </c>
      <c r="I1817" s="74"/>
      <c r="J1817" s="74">
        <v>0</v>
      </c>
      <c r="K1817" s="74">
        <v>0</v>
      </c>
      <c r="L1817" s="74">
        <v>0</v>
      </c>
      <c r="M1817" s="74">
        <v>0</v>
      </c>
      <c r="N1817" s="74">
        <v>0</v>
      </c>
    </row>
    <row r="1818" spans="1:14" x14ac:dyDescent="0.25">
      <c r="A1818" t="e">
        <f>VLOOKUP(VALUE(RIGHT(B1818,4)),'Waste Lookups'!$B$1:$C$295,2,FALSE)</f>
        <v>#N/A</v>
      </c>
      <c r="B1818" s="74" t="s">
        <v>4293</v>
      </c>
      <c r="C1818" s="74" t="s">
        <v>4294</v>
      </c>
      <c r="D1818" s="74">
        <v>0</v>
      </c>
      <c r="E1818" s="74">
        <v>0</v>
      </c>
      <c r="F1818" s="74">
        <v>0</v>
      </c>
      <c r="G1818" s="74">
        <v>0.29052000000000006</v>
      </c>
      <c r="H1818" s="74">
        <v>0</v>
      </c>
      <c r="I1818" s="74"/>
      <c r="J1818" s="74">
        <v>0</v>
      </c>
      <c r="K1818" s="74">
        <v>0</v>
      </c>
      <c r="L1818" s="74">
        <v>0</v>
      </c>
      <c r="M1818" s="74">
        <v>1.0810799999999998</v>
      </c>
      <c r="N1818" s="74">
        <v>0</v>
      </c>
    </row>
    <row r="1819" spans="1:14" x14ac:dyDescent="0.25">
      <c r="A1819" t="e">
        <f>VLOOKUP(VALUE(RIGHT(B1819,4)),'Waste Lookups'!$B$1:$C$295,2,FALSE)</f>
        <v>#N/A</v>
      </c>
      <c r="B1819" s="74" t="s">
        <v>4295</v>
      </c>
      <c r="C1819" s="74" t="s">
        <v>4296</v>
      </c>
      <c r="D1819" s="74">
        <v>1.9636363636363636E-2</v>
      </c>
      <c r="E1819" s="74">
        <v>0</v>
      </c>
      <c r="F1819" s="74">
        <v>0</v>
      </c>
      <c r="G1819" s="74">
        <v>0</v>
      </c>
      <c r="H1819" s="74">
        <v>0</v>
      </c>
      <c r="I1819" s="74"/>
      <c r="J1819" s="74">
        <v>0</v>
      </c>
      <c r="K1819" s="74">
        <v>0</v>
      </c>
      <c r="L1819" s="74">
        <v>0</v>
      </c>
      <c r="M1819" s="74">
        <v>0</v>
      </c>
      <c r="N1819" s="74">
        <v>0</v>
      </c>
    </row>
    <row r="1820" spans="1:14" x14ac:dyDescent="0.25">
      <c r="A1820" t="e">
        <f>VLOOKUP(VALUE(RIGHT(B1820,4)),'Waste Lookups'!$B$1:$C$295,2,FALSE)</f>
        <v>#N/A</v>
      </c>
      <c r="B1820" s="74" t="s">
        <v>4297</v>
      </c>
      <c r="C1820" s="74" t="s">
        <v>4298</v>
      </c>
      <c r="D1820" s="74">
        <v>0</v>
      </c>
      <c r="E1820" s="74">
        <v>204.38753999999994</v>
      </c>
      <c r="F1820" s="74">
        <v>0</v>
      </c>
      <c r="G1820" s="74">
        <v>0</v>
      </c>
      <c r="H1820" s="74">
        <v>0</v>
      </c>
      <c r="I1820" s="74"/>
      <c r="J1820" s="74">
        <v>0</v>
      </c>
      <c r="K1820" s="74">
        <v>0</v>
      </c>
      <c r="L1820" s="74">
        <v>0</v>
      </c>
      <c r="M1820" s="74">
        <v>0</v>
      </c>
      <c r="N1820" s="74">
        <v>0</v>
      </c>
    </row>
    <row r="1821" spans="1:14" x14ac:dyDescent="0.25">
      <c r="A1821" t="e">
        <f>VLOOKUP(VALUE(RIGHT(B1821,4)),'Waste Lookups'!$B$1:$C$295,2,FALSE)</f>
        <v>#N/A</v>
      </c>
      <c r="B1821" s="74" t="s">
        <v>4299</v>
      </c>
      <c r="C1821" s="74" t="s">
        <v>4300</v>
      </c>
      <c r="D1821" s="74">
        <v>0</v>
      </c>
      <c r="E1821" s="74">
        <v>17.10294</v>
      </c>
      <c r="F1821" s="74">
        <v>0</v>
      </c>
      <c r="G1821" s="74">
        <v>0</v>
      </c>
      <c r="H1821" s="74">
        <v>0</v>
      </c>
      <c r="I1821" s="74"/>
      <c r="J1821" s="74">
        <v>0</v>
      </c>
      <c r="K1821" s="74">
        <v>464.367255</v>
      </c>
      <c r="L1821" s="74">
        <v>0</v>
      </c>
      <c r="M1821" s="74">
        <v>0</v>
      </c>
      <c r="N1821" s="74">
        <v>0</v>
      </c>
    </row>
    <row r="1822" spans="1:14" x14ac:dyDescent="0.25">
      <c r="A1822" t="e">
        <f>VLOOKUP(VALUE(RIGHT(B1822,4)),'Waste Lookups'!$B$1:$C$295,2,FALSE)</f>
        <v>#N/A</v>
      </c>
      <c r="B1822" s="74" t="s">
        <v>4301</v>
      </c>
      <c r="C1822" s="74" t="s">
        <v>4302</v>
      </c>
      <c r="D1822" s="74">
        <v>0</v>
      </c>
      <c r="E1822" s="74">
        <v>0</v>
      </c>
      <c r="F1822" s="74">
        <v>0</v>
      </c>
      <c r="G1822" s="74">
        <v>0</v>
      </c>
      <c r="H1822" s="74">
        <v>0</v>
      </c>
      <c r="I1822" s="74"/>
      <c r="J1822" s="74">
        <v>0</v>
      </c>
      <c r="K1822" s="74">
        <v>0</v>
      </c>
      <c r="L1822" s="74">
        <v>0</v>
      </c>
      <c r="M1822" s="74">
        <v>0</v>
      </c>
      <c r="N1822" s="74">
        <v>0</v>
      </c>
    </row>
    <row r="1823" spans="1:14" x14ac:dyDescent="0.25">
      <c r="A1823" t="e">
        <f>VLOOKUP(VALUE(RIGHT(B1823,4)),'Waste Lookups'!$B$1:$C$295,2,FALSE)</f>
        <v>#N/A</v>
      </c>
      <c r="B1823" s="74" t="s">
        <v>4303</v>
      </c>
      <c r="C1823" s="74" t="s">
        <v>4304</v>
      </c>
      <c r="D1823" s="74">
        <v>0.58524242424242423</v>
      </c>
      <c r="E1823" s="74">
        <v>0</v>
      </c>
      <c r="F1823" s="74">
        <v>0</v>
      </c>
      <c r="G1823" s="74">
        <v>0</v>
      </c>
      <c r="H1823" s="74">
        <v>0</v>
      </c>
      <c r="I1823" s="74"/>
      <c r="J1823" s="74">
        <v>0</v>
      </c>
      <c r="K1823" s="74">
        <v>0</v>
      </c>
      <c r="L1823" s="74">
        <v>0</v>
      </c>
      <c r="M1823" s="74">
        <v>0</v>
      </c>
      <c r="N1823" s="74">
        <v>0</v>
      </c>
    </row>
    <row r="1824" spans="1:14" x14ac:dyDescent="0.25">
      <c r="A1824" t="e">
        <f>VLOOKUP(VALUE(RIGHT(B1824,4)),'Waste Lookups'!$B$1:$C$295,2,FALSE)</f>
        <v>#N/A</v>
      </c>
      <c r="B1824" s="74" t="s">
        <v>4305</v>
      </c>
      <c r="C1824" s="74" t="s">
        <v>4306</v>
      </c>
      <c r="D1824" s="74">
        <v>24.118757575757577</v>
      </c>
      <c r="E1824" s="74">
        <v>0</v>
      </c>
      <c r="F1824" s="74">
        <v>0.42210909090909093</v>
      </c>
      <c r="G1824" s="74">
        <v>14.914620000000001</v>
      </c>
      <c r="H1824" s="74">
        <v>0</v>
      </c>
      <c r="I1824" s="74"/>
      <c r="J1824" s="74">
        <v>0</v>
      </c>
      <c r="K1824" s="74">
        <v>0</v>
      </c>
      <c r="L1824" s="74">
        <v>0</v>
      </c>
      <c r="M1824" s="74">
        <v>0</v>
      </c>
      <c r="N1824" s="74">
        <v>0</v>
      </c>
    </row>
    <row r="1825" spans="1:14" x14ac:dyDescent="0.25">
      <c r="A1825" t="e">
        <f>VLOOKUP(VALUE(RIGHT(B1825,4)),'Waste Lookups'!$B$1:$C$295,2,FALSE)</f>
        <v>#N/A</v>
      </c>
      <c r="B1825" s="74" t="s">
        <v>4307</v>
      </c>
      <c r="C1825" s="74" t="s">
        <v>4308</v>
      </c>
      <c r="D1825" s="74">
        <v>4.9034242424242427</v>
      </c>
      <c r="E1825" s="74">
        <v>38.074860000000001</v>
      </c>
      <c r="F1825" s="74">
        <v>0</v>
      </c>
      <c r="G1825" s="74">
        <v>0</v>
      </c>
      <c r="H1825" s="74">
        <v>0</v>
      </c>
      <c r="I1825" s="74"/>
      <c r="J1825" s="74">
        <v>0</v>
      </c>
      <c r="K1825" s="74">
        <v>0</v>
      </c>
      <c r="L1825" s="74">
        <v>0</v>
      </c>
      <c r="M1825" s="74">
        <v>0</v>
      </c>
      <c r="N1825" s="74">
        <v>0</v>
      </c>
    </row>
    <row r="1826" spans="1:14" x14ac:dyDescent="0.25">
      <c r="A1826" t="e">
        <f>VLOOKUP(VALUE(RIGHT(B1826,4)),'Waste Lookups'!$B$1:$C$295,2,FALSE)</f>
        <v>#N/A</v>
      </c>
      <c r="B1826" s="74" t="s">
        <v>4309</v>
      </c>
      <c r="C1826" s="74" t="s">
        <v>4310</v>
      </c>
      <c r="D1826" s="74">
        <v>12.16730303030303</v>
      </c>
      <c r="E1826" s="74">
        <v>52.174320000000002</v>
      </c>
      <c r="F1826" s="74">
        <v>0</v>
      </c>
      <c r="G1826" s="74">
        <v>16.041239999999998</v>
      </c>
      <c r="H1826" s="74">
        <v>0</v>
      </c>
      <c r="I1826" s="74"/>
      <c r="J1826" s="74">
        <v>0</v>
      </c>
      <c r="K1826" s="74">
        <v>0</v>
      </c>
      <c r="L1826" s="74">
        <v>0</v>
      </c>
      <c r="M1826" s="74">
        <v>0</v>
      </c>
      <c r="N1826" s="74">
        <v>0</v>
      </c>
    </row>
    <row r="1827" spans="1:14" x14ac:dyDescent="0.25">
      <c r="A1827" t="e">
        <f>VLOOKUP(VALUE(RIGHT(B1827,4)),'Waste Lookups'!$B$1:$C$295,2,FALSE)</f>
        <v>#N/A</v>
      </c>
      <c r="B1827" s="74" t="s">
        <v>4311</v>
      </c>
      <c r="C1827" s="74" t="s">
        <v>4312</v>
      </c>
      <c r="D1827" s="74">
        <v>0.75515151515151513</v>
      </c>
      <c r="E1827" s="74">
        <v>172.63715999999999</v>
      </c>
      <c r="F1827" s="74">
        <v>6.2327090909090908</v>
      </c>
      <c r="G1827" s="74">
        <v>0</v>
      </c>
      <c r="H1827" s="74">
        <v>38.955062117925451</v>
      </c>
      <c r="I1827" s="74"/>
      <c r="J1827" s="74">
        <v>0</v>
      </c>
      <c r="K1827" s="74">
        <v>0</v>
      </c>
      <c r="L1827" s="74">
        <v>0</v>
      </c>
      <c r="M1827" s="74">
        <v>0</v>
      </c>
      <c r="N1827" s="74">
        <v>0</v>
      </c>
    </row>
    <row r="1828" spans="1:14" x14ac:dyDescent="0.25">
      <c r="A1828" t="e">
        <f>VLOOKUP(VALUE(RIGHT(B1828,4)),'Waste Lookups'!$B$1:$C$295,2,FALSE)</f>
        <v>#N/A</v>
      </c>
      <c r="B1828" s="74" t="s">
        <v>4313</v>
      </c>
      <c r="C1828" s="74" t="s">
        <v>4314</v>
      </c>
      <c r="D1828" s="74">
        <v>0</v>
      </c>
      <c r="E1828" s="74">
        <v>0</v>
      </c>
      <c r="F1828" s="74">
        <v>0</v>
      </c>
      <c r="G1828" s="74">
        <v>0</v>
      </c>
      <c r="H1828" s="74">
        <v>0</v>
      </c>
      <c r="I1828" s="74"/>
      <c r="J1828" s="74">
        <v>0</v>
      </c>
      <c r="K1828" s="74">
        <v>0</v>
      </c>
      <c r="L1828" s="74">
        <v>0</v>
      </c>
      <c r="M1828" s="74">
        <v>0</v>
      </c>
      <c r="N1828" s="74">
        <v>0</v>
      </c>
    </row>
    <row r="1829" spans="1:14" x14ac:dyDescent="0.25">
      <c r="A1829" t="e">
        <f>VLOOKUP(VALUE(RIGHT(B1829,4)),'Waste Lookups'!$B$1:$C$295,2,FALSE)</f>
        <v>#N/A</v>
      </c>
      <c r="B1829" s="74" t="s">
        <v>4315</v>
      </c>
      <c r="C1829" s="74" t="s">
        <v>4316</v>
      </c>
      <c r="D1829" s="74">
        <v>0</v>
      </c>
      <c r="E1829" s="74">
        <v>0</v>
      </c>
      <c r="F1829" s="74">
        <v>0</v>
      </c>
      <c r="G1829" s="74">
        <v>0</v>
      </c>
      <c r="H1829" s="74">
        <v>2.544350226779728</v>
      </c>
      <c r="I1829" s="74"/>
      <c r="J1829" s="74">
        <v>0</v>
      </c>
      <c r="K1829" s="74">
        <v>0</v>
      </c>
      <c r="L1829" s="74">
        <v>0</v>
      </c>
      <c r="M1829" s="74">
        <v>0</v>
      </c>
      <c r="N1829" s="74">
        <v>0</v>
      </c>
    </row>
    <row r="1830" spans="1:14" x14ac:dyDescent="0.25">
      <c r="A1830" t="e">
        <f>VLOOKUP(VALUE(RIGHT(B1830,4)),'Waste Lookups'!$B$1:$C$295,2,FALSE)</f>
        <v>#N/A</v>
      </c>
      <c r="B1830" s="74" t="s">
        <v>4317</v>
      </c>
      <c r="C1830" s="74" t="s">
        <v>4318</v>
      </c>
      <c r="D1830" s="74">
        <v>0.31309090909090914</v>
      </c>
      <c r="E1830" s="74">
        <v>0</v>
      </c>
      <c r="F1830" s="74">
        <v>0</v>
      </c>
      <c r="G1830" s="74">
        <v>0</v>
      </c>
      <c r="H1830" s="74">
        <v>0</v>
      </c>
      <c r="I1830" s="74"/>
      <c r="J1830" s="74">
        <v>0</v>
      </c>
      <c r="K1830" s="74">
        <v>0</v>
      </c>
      <c r="L1830" s="74">
        <v>0</v>
      </c>
      <c r="M1830" s="74">
        <v>0</v>
      </c>
      <c r="N1830" s="74">
        <v>0</v>
      </c>
    </row>
    <row r="1831" spans="1:14" x14ac:dyDescent="0.25">
      <c r="A1831" t="e">
        <f>VLOOKUP(VALUE(RIGHT(B1831,4)),'Waste Lookups'!$B$1:$C$295,2,FALSE)</f>
        <v>#N/A</v>
      </c>
      <c r="B1831" s="74" t="s">
        <v>4319</v>
      </c>
      <c r="C1831" s="74" t="s">
        <v>4320</v>
      </c>
      <c r="D1831" s="74">
        <v>0</v>
      </c>
      <c r="E1831" s="74">
        <v>0</v>
      </c>
      <c r="F1831" s="74">
        <v>0</v>
      </c>
      <c r="G1831" s="74">
        <v>0</v>
      </c>
      <c r="H1831" s="74">
        <v>0</v>
      </c>
      <c r="I1831" s="74"/>
      <c r="J1831" s="74">
        <v>0</v>
      </c>
      <c r="K1831" s="74">
        <v>0</v>
      </c>
      <c r="L1831" s="74">
        <v>0</v>
      </c>
      <c r="M1831" s="74">
        <v>0</v>
      </c>
      <c r="N1831" s="74">
        <v>0</v>
      </c>
    </row>
    <row r="1832" spans="1:14" x14ac:dyDescent="0.25">
      <c r="A1832" t="e">
        <f>VLOOKUP(VALUE(RIGHT(B1832,4)),'Waste Lookups'!$B$1:$C$295,2,FALSE)</f>
        <v>#N/A</v>
      </c>
      <c r="B1832" s="74" t="s">
        <v>4321</v>
      </c>
      <c r="C1832" s="74" t="s">
        <v>4322</v>
      </c>
      <c r="D1832" s="74">
        <v>0</v>
      </c>
      <c r="E1832" s="74">
        <v>0.37440000000000001</v>
      </c>
      <c r="F1832" s="74">
        <v>0</v>
      </c>
      <c r="G1832" s="74">
        <v>0</v>
      </c>
      <c r="H1832" s="74">
        <v>0</v>
      </c>
      <c r="I1832" s="74"/>
      <c r="J1832" s="74">
        <v>0</v>
      </c>
      <c r="K1832" s="74">
        <v>0</v>
      </c>
      <c r="L1832" s="74">
        <v>0</v>
      </c>
      <c r="M1832" s="74">
        <v>0</v>
      </c>
      <c r="N1832" s="74">
        <v>0</v>
      </c>
    </row>
    <row r="1833" spans="1:14" x14ac:dyDescent="0.25">
      <c r="A1833" t="e">
        <f>VLOOKUP(VALUE(RIGHT(B1833,4)),'Waste Lookups'!$B$1:$C$295,2,FALSE)</f>
        <v>#N/A</v>
      </c>
      <c r="B1833" s="74" t="s">
        <v>4323</v>
      </c>
      <c r="C1833" s="74" t="s">
        <v>4324</v>
      </c>
      <c r="D1833" s="74">
        <v>216.53248484848487</v>
      </c>
      <c r="E1833" s="74">
        <v>8.1441599999999994</v>
      </c>
      <c r="F1833" s="74">
        <v>0</v>
      </c>
      <c r="G1833" s="74">
        <v>6.13314</v>
      </c>
      <c r="H1833" s="74">
        <v>0</v>
      </c>
      <c r="I1833" s="74"/>
      <c r="J1833" s="74">
        <v>0</v>
      </c>
      <c r="K1833" s="74">
        <v>0</v>
      </c>
      <c r="L1833" s="74">
        <v>0</v>
      </c>
      <c r="M1833" s="74">
        <v>0</v>
      </c>
      <c r="N1833" s="74">
        <v>0</v>
      </c>
    </row>
    <row r="1834" spans="1:14" x14ac:dyDescent="0.25">
      <c r="A1834" t="e">
        <f>VLOOKUP(VALUE(RIGHT(B1834,4)),'Waste Lookups'!$B$1:$C$295,2,FALSE)</f>
        <v>#N/A</v>
      </c>
      <c r="B1834" s="74" t="s">
        <v>4325</v>
      </c>
      <c r="C1834" s="74" t="s">
        <v>4326</v>
      </c>
      <c r="D1834" s="74">
        <v>0</v>
      </c>
      <c r="E1834" s="74">
        <v>10.33548</v>
      </c>
      <c r="F1834" s="74">
        <v>0</v>
      </c>
      <c r="G1834" s="74">
        <v>0</v>
      </c>
      <c r="H1834" s="74">
        <v>0</v>
      </c>
      <c r="I1834" s="74"/>
      <c r="J1834" s="74">
        <v>0</v>
      </c>
      <c r="K1834" s="74">
        <v>0</v>
      </c>
      <c r="L1834" s="74">
        <v>0</v>
      </c>
      <c r="M1834" s="74">
        <v>0</v>
      </c>
      <c r="N1834" s="74">
        <v>0</v>
      </c>
    </row>
    <row r="1835" spans="1:14" x14ac:dyDescent="0.25">
      <c r="A1835" t="e">
        <f>VLOOKUP(VALUE(RIGHT(B1835,4)),'Waste Lookups'!$B$1:$C$295,2,FALSE)</f>
        <v>#N/A</v>
      </c>
      <c r="B1835" s="74" t="s">
        <v>4327</v>
      </c>
      <c r="C1835" s="74" t="s">
        <v>4328</v>
      </c>
      <c r="D1835" s="74">
        <v>3.9178181818181819</v>
      </c>
      <c r="E1835" s="74">
        <v>9.2675399999999986</v>
      </c>
      <c r="F1835" s="74">
        <v>0</v>
      </c>
      <c r="G1835" s="74">
        <v>0</v>
      </c>
      <c r="H1835" s="74">
        <v>0</v>
      </c>
      <c r="I1835" s="74"/>
      <c r="J1835" s="74">
        <v>0</v>
      </c>
      <c r="K1835" s="74">
        <v>0</v>
      </c>
      <c r="L1835" s="74">
        <v>0</v>
      </c>
      <c r="M1835" s="74">
        <v>0</v>
      </c>
      <c r="N1835" s="74">
        <v>0</v>
      </c>
    </row>
    <row r="1836" spans="1:14" x14ac:dyDescent="0.25">
      <c r="A1836" t="e">
        <f>VLOOKUP(VALUE(RIGHT(B1836,4)),'Waste Lookups'!$B$1:$C$295,2,FALSE)</f>
        <v>#N/A</v>
      </c>
      <c r="B1836" s="74" t="s">
        <v>4329</v>
      </c>
      <c r="C1836" s="74" t="s">
        <v>4330</v>
      </c>
      <c r="D1836" s="74">
        <v>0</v>
      </c>
      <c r="E1836" s="74">
        <v>9.9936000000000007</v>
      </c>
      <c r="F1836" s="74">
        <v>0</v>
      </c>
      <c r="G1836" s="74">
        <v>1.4849999999999999E-2</v>
      </c>
      <c r="H1836" s="74">
        <v>2.5191717609938871</v>
      </c>
      <c r="I1836" s="74"/>
      <c r="J1836" s="74">
        <v>0</v>
      </c>
      <c r="K1836" s="74">
        <v>0</v>
      </c>
      <c r="L1836" s="74">
        <v>0</v>
      </c>
      <c r="M1836" s="74">
        <v>0</v>
      </c>
      <c r="N1836" s="74">
        <v>0</v>
      </c>
    </row>
    <row r="1837" spans="1:14" x14ac:dyDescent="0.25">
      <c r="A1837" t="e">
        <f>VLOOKUP(VALUE(RIGHT(B1837,4)),'Waste Lookups'!$B$1:$C$295,2,FALSE)</f>
        <v>#N/A</v>
      </c>
      <c r="B1837" s="74" t="s">
        <v>4331</v>
      </c>
      <c r="C1837" s="74" t="s">
        <v>4332</v>
      </c>
      <c r="D1837" s="74">
        <v>1.513878787878788</v>
      </c>
      <c r="E1837" s="74">
        <v>6.2965800000000005</v>
      </c>
      <c r="F1837" s="74">
        <v>0</v>
      </c>
      <c r="G1837" s="74">
        <v>0</v>
      </c>
      <c r="H1837" s="74">
        <v>0</v>
      </c>
      <c r="I1837" s="74"/>
      <c r="J1837" s="74">
        <v>0</v>
      </c>
      <c r="K1837" s="74">
        <v>0</v>
      </c>
      <c r="L1837" s="74">
        <v>0</v>
      </c>
      <c r="M1837" s="74">
        <v>0</v>
      </c>
      <c r="N1837" s="74">
        <v>0</v>
      </c>
    </row>
    <row r="1838" spans="1:14" x14ac:dyDescent="0.25">
      <c r="A1838" t="e">
        <f>VLOOKUP(VALUE(RIGHT(B1838,4)),'Waste Lookups'!$B$1:$C$295,2,FALSE)</f>
        <v>#N/A</v>
      </c>
      <c r="B1838" s="74" t="s">
        <v>4333</v>
      </c>
      <c r="C1838" s="74" t="s">
        <v>4334</v>
      </c>
      <c r="D1838" s="74">
        <v>0</v>
      </c>
      <c r="E1838" s="74">
        <v>0</v>
      </c>
      <c r="F1838" s="74">
        <v>0</v>
      </c>
      <c r="G1838" s="74">
        <v>0</v>
      </c>
      <c r="H1838" s="74">
        <v>0</v>
      </c>
      <c r="I1838" s="74"/>
      <c r="J1838" s="74">
        <v>0</v>
      </c>
      <c r="K1838" s="74">
        <v>0</v>
      </c>
      <c r="L1838" s="74">
        <v>0</v>
      </c>
      <c r="M1838" s="74">
        <v>0</v>
      </c>
      <c r="N1838" s="74">
        <v>0</v>
      </c>
    </row>
  </sheetData>
  <mergeCells count="2">
    <mergeCell ref="D2:H2"/>
    <mergeCell ref="J2:N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294"/>
  <sheetViews>
    <sheetView topLeftCell="A87" workbookViewId="0">
      <selection activeCell="C297" sqref="C297"/>
    </sheetView>
  </sheetViews>
  <sheetFormatPr defaultRowHeight="15" x14ac:dyDescent="0.25"/>
  <cols>
    <col min="1" max="1" width="5.7109375" bestFit="1" customWidth="1"/>
    <col min="2" max="2" width="5" bestFit="1" customWidth="1"/>
    <col min="3" max="3" width="56.42578125" bestFit="1" customWidth="1"/>
  </cols>
  <sheetData>
    <row r="1" spans="1:3" x14ac:dyDescent="0.25">
      <c r="A1">
        <v>1412</v>
      </c>
      <c r="B1">
        <v>5733</v>
      </c>
      <c r="C1" t="s">
        <v>460</v>
      </c>
    </row>
    <row r="2" spans="1:3" x14ac:dyDescent="0.25">
      <c r="A2">
        <v>3153</v>
      </c>
      <c r="B2">
        <v>8524</v>
      </c>
      <c r="C2" t="s">
        <v>622</v>
      </c>
    </row>
    <row r="3" spans="1:3" x14ac:dyDescent="0.25">
      <c r="A3">
        <v>1046</v>
      </c>
      <c r="B3">
        <v>2574</v>
      </c>
      <c r="C3" t="s">
        <v>63</v>
      </c>
    </row>
    <row r="4" spans="1:3" x14ac:dyDescent="0.25">
      <c r="A4">
        <v>5914</v>
      </c>
      <c r="B4">
        <v>9478</v>
      </c>
      <c r="C4" t="s">
        <v>388</v>
      </c>
    </row>
    <row r="5" spans="1:3" x14ac:dyDescent="0.25">
      <c r="A5">
        <v>6107</v>
      </c>
      <c r="B5">
        <v>9478</v>
      </c>
      <c r="C5" t="s">
        <v>365</v>
      </c>
    </row>
    <row r="6" spans="1:3" x14ac:dyDescent="0.25">
      <c r="A6">
        <v>6106</v>
      </c>
      <c r="B6">
        <v>9478</v>
      </c>
      <c r="C6" t="s">
        <v>363</v>
      </c>
    </row>
    <row r="7" spans="1:3" x14ac:dyDescent="0.25">
      <c r="A7">
        <v>1109</v>
      </c>
      <c r="B7">
        <v>2698</v>
      </c>
      <c r="C7" t="s">
        <v>71</v>
      </c>
    </row>
    <row r="8" spans="1:3" x14ac:dyDescent="0.25">
      <c r="A8">
        <v>5579</v>
      </c>
      <c r="B8">
        <v>8675</v>
      </c>
      <c r="C8" t="s">
        <v>276</v>
      </c>
    </row>
    <row r="9" spans="1:3" x14ac:dyDescent="0.25">
      <c r="A9">
        <v>2558</v>
      </c>
      <c r="B9">
        <v>3160</v>
      </c>
      <c r="C9" t="s">
        <v>120</v>
      </c>
    </row>
    <row r="10" spans="1:3" x14ac:dyDescent="0.25">
      <c r="A10">
        <v>4309</v>
      </c>
      <c r="B10">
        <v>4198</v>
      </c>
      <c r="C10" t="s">
        <v>231</v>
      </c>
    </row>
    <row r="11" spans="1:3" x14ac:dyDescent="0.25">
      <c r="A11">
        <v>4487</v>
      </c>
      <c r="B11">
        <v>6591</v>
      </c>
      <c r="C11" t="s">
        <v>238</v>
      </c>
    </row>
    <row r="12" spans="1:3" x14ac:dyDescent="0.25">
      <c r="A12">
        <v>1112</v>
      </c>
      <c r="B12">
        <v>2701</v>
      </c>
      <c r="C12" t="s">
        <v>73</v>
      </c>
    </row>
    <row r="13" spans="1:3" x14ac:dyDescent="0.25">
      <c r="A13">
        <v>5494</v>
      </c>
      <c r="B13">
        <v>9114</v>
      </c>
      <c r="C13" t="s">
        <v>595</v>
      </c>
    </row>
    <row r="14" spans="1:3" x14ac:dyDescent="0.25">
      <c r="A14">
        <v>1733</v>
      </c>
      <c r="B14">
        <v>2965</v>
      </c>
      <c r="C14" t="s">
        <v>92</v>
      </c>
    </row>
    <row r="15" spans="1:3" x14ac:dyDescent="0.25">
      <c r="A15">
        <v>3718</v>
      </c>
      <c r="B15">
        <v>3965</v>
      </c>
      <c r="C15" t="s">
        <v>557</v>
      </c>
    </row>
    <row r="16" spans="1:3" x14ac:dyDescent="0.25">
      <c r="A16">
        <v>622</v>
      </c>
      <c r="B16">
        <v>5336</v>
      </c>
      <c r="C16" t="s">
        <v>36</v>
      </c>
    </row>
    <row r="17" spans="1:3" x14ac:dyDescent="0.25">
      <c r="A17">
        <v>3318</v>
      </c>
      <c r="B17">
        <v>3615</v>
      </c>
      <c r="C17" t="s">
        <v>187</v>
      </c>
    </row>
    <row r="18" spans="1:3" x14ac:dyDescent="0.25">
      <c r="A18">
        <v>5374</v>
      </c>
      <c r="B18">
        <v>8841</v>
      </c>
      <c r="C18" t="s">
        <v>588</v>
      </c>
    </row>
    <row r="19" spans="1:3" x14ac:dyDescent="0.25">
      <c r="A19">
        <v>4377</v>
      </c>
      <c r="B19">
        <v>4107</v>
      </c>
      <c r="C19" t="s">
        <v>513</v>
      </c>
    </row>
    <row r="20" spans="1:3" x14ac:dyDescent="0.25">
      <c r="A20">
        <v>3934</v>
      </c>
      <c r="B20">
        <v>7000</v>
      </c>
      <c r="C20" t="s">
        <v>413</v>
      </c>
    </row>
    <row r="21" spans="1:3" x14ac:dyDescent="0.25">
      <c r="A21">
        <v>624</v>
      </c>
      <c r="B21">
        <v>5338</v>
      </c>
      <c r="C21" t="s">
        <v>38</v>
      </c>
    </row>
    <row r="22" spans="1:3" x14ac:dyDescent="0.25">
      <c r="A22">
        <v>5282</v>
      </c>
      <c r="B22">
        <v>8886</v>
      </c>
      <c r="C22" t="s">
        <v>269</v>
      </c>
    </row>
    <row r="23" spans="1:3" x14ac:dyDescent="0.25">
      <c r="A23">
        <v>1984</v>
      </c>
      <c r="B23">
        <v>5902</v>
      </c>
      <c r="C23" t="s">
        <v>96</v>
      </c>
    </row>
    <row r="24" spans="1:3" x14ac:dyDescent="0.25">
      <c r="A24">
        <v>4058</v>
      </c>
      <c r="B24">
        <v>7284</v>
      </c>
      <c r="C24" t="s">
        <v>224</v>
      </c>
    </row>
    <row r="25" spans="1:3" x14ac:dyDescent="0.25">
      <c r="A25">
        <v>5971</v>
      </c>
      <c r="B25" t="s">
        <v>387</v>
      </c>
      <c r="C25" t="s">
        <v>425</v>
      </c>
    </row>
    <row r="26" spans="1:3" x14ac:dyDescent="0.25">
      <c r="A26">
        <v>3720</v>
      </c>
      <c r="B26">
        <v>3967</v>
      </c>
      <c r="C26" t="s">
        <v>214</v>
      </c>
    </row>
    <row r="27" spans="1:3" x14ac:dyDescent="0.25">
      <c r="A27">
        <v>995</v>
      </c>
      <c r="B27">
        <v>2505</v>
      </c>
      <c r="C27" t="s">
        <v>55</v>
      </c>
    </row>
    <row r="28" spans="1:3" x14ac:dyDescent="0.25">
      <c r="A28">
        <v>388</v>
      </c>
      <c r="B28">
        <v>9029</v>
      </c>
      <c r="C28" t="s">
        <v>24</v>
      </c>
    </row>
    <row r="29" spans="1:3" x14ac:dyDescent="0.25">
      <c r="A29">
        <v>1850</v>
      </c>
      <c r="B29">
        <v>3064</v>
      </c>
      <c r="C29" t="s">
        <v>542</v>
      </c>
    </row>
    <row r="30" spans="1:3" x14ac:dyDescent="0.25">
      <c r="A30">
        <v>1424</v>
      </c>
      <c r="B30">
        <v>5652</v>
      </c>
      <c r="C30" t="s">
        <v>86</v>
      </c>
    </row>
    <row r="31" spans="1:3" x14ac:dyDescent="0.25">
      <c r="A31" t="s">
        <v>627</v>
      </c>
      <c r="B31" t="s">
        <v>387</v>
      </c>
      <c r="C31" t="s">
        <v>549</v>
      </c>
    </row>
    <row r="32" spans="1:3" x14ac:dyDescent="0.25">
      <c r="A32">
        <v>5906</v>
      </c>
      <c r="B32">
        <v>3028</v>
      </c>
      <c r="C32" t="s">
        <v>306</v>
      </c>
    </row>
    <row r="33" spans="1:3" x14ac:dyDescent="0.25">
      <c r="A33">
        <v>1463</v>
      </c>
      <c r="B33">
        <v>8252</v>
      </c>
      <c r="C33" t="s">
        <v>606</v>
      </c>
    </row>
    <row r="34" spans="1:3" x14ac:dyDescent="0.25">
      <c r="A34">
        <v>3086</v>
      </c>
      <c r="B34">
        <v>8443</v>
      </c>
      <c r="C34" t="s">
        <v>571</v>
      </c>
    </row>
    <row r="35" spans="1:3" x14ac:dyDescent="0.25">
      <c r="A35">
        <v>5806</v>
      </c>
      <c r="B35">
        <v>4508</v>
      </c>
      <c r="C35" t="s">
        <v>298</v>
      </c>
    </row>
    <row r="36" spans="1:3" x14ac:dyDescent="0.25">
      <c r="A36">
        <v>3085</v>
      </c>
      <c r="B36">
        <v>8445</v>
      </c>
      <c r="C36" t="s">
        <v>173</v>
      </c>
    </row>
    <row r="37" spans="1:3" x14ac:dyDescent="0.25">
      <c r="A37">
        <v>5150</v>
      </c>
      <c r="B37">
        <v>8653</v>
      </c>
      <c r="C37" t="s">
        <v>261</v>
      </c>
    </row>
    <row r="38" spans="1:3" x14ac:dyDescent="0.25">
      <c r="A38">
        <v>5851</v>
      </c>
      <c r="B38">
        <v>4544</v>
      </c>
      <c r="C38" t="s">
        <v>318</v>
      </c>
    </row>
    <row r="39" spans="1:3" x14ac:dyDescent="0.25">
      <c r="A39">
        <v>2564</v>
      </c>
      <c r="B39">
        <v>3166</v>
      </c>
      <c r="C39" t="s">
        <v>122</v>
      </c>
    </row>
    <row r="40" spans="1:3" x14ac:dyDescent="0.25">
      <c r="A40">
        <v>5564</v>
      </c>
      <c r="B40">
        <v>8926</v>
      </c>
      <c r="C40" t="s">
        <v>597</v>
      </c>
    </row>
    <row r="41" spans="1:3" x14ac:dyDescent="0.25">
      <c r="A41">
        <v>4770</v>
      </c>
      <c r="B41">
        <v>7698</v>
      </c>
      <c r="C41" t="s">
        <v>245</v>
      </c>
    </row>
    <row r="42" spans="1:3" x14ac:dyDescent="0.25">
      <c r="A42">
        <v>1356</v>
      </c>
      <c r="B42">
        <v>5608</v>
      </c>
      <c r="C42" t="s">
        <v>81</v>
      </c>
    </row>
    <row r="43" spans="1:3" x14ac:dyDescent="0.25">
      <c r="A43">
        <v>822</v>
      </c>
      <c r="B43">
        <v>8141</v>
      </c>
      <c r="C43" t="s">
        <v>46</v>
      </c>
    </row>
    <row r="44" spans="1:3" x14ac:dyDescent="0.25">
      <c r="A44">
        <v>5176</v>
      </c>
      <c r="B44">
        <v>8688</v>
      </c>
      <c r="C44" t="s">
        <v>582</v>
      </c>
    </row>
    <row r="45" spans="1:3" x14ac:dyDescent="0.25">
      <c r="A45">
        <v>5459</v>
      </c>
      <c r="B45">
        <v>9105</v>
      </c>
      <c r="C45" t="s">
        <v>593</v>
      </c>
    </row>
    <row r="46" spans="1:3" x14ac:dyDescent="0.25">
      <c r="A46">
        <v>2698</v>
      </c>
      <c r="B46">
        <v>3493</v>
      </c>
      <c r="C46" t="s">
        <v>331</v>
      </c>
    </row>
    <row r="47" spans="1:3" x14ac:dyDescent="0.25">
      <c r="A47">
        <v>5461</v>
      </c>
      <c r="B47">
        <v>5461</v>
      </c>
      <c r="C47" t="s">
        <v>331</v>
      </c>
    </row>
    <row r="48" spans="1:3" x14ac:dyDescent="0.25">
      <c r="A48">
        <v>2566</v>
      </c>
      <c r="B48">
        <v>3168</v>
      </c>
      <c r="C48" t="s">
        <v>124</v>
      </c>
    </row>
    <row r="49" spans="1:3" x14ac:dyDescent="0.25">
      <c r="A49">
        <v>2933</v>
      </c>
      <c r="B49">
        <v>6182</v>
      </c>
      <c r="C49" t="s">
        <v>165</v>
      </c>
    </row>
    <row r="50" spans="1:3" x14ac:dyDescent="0.25">
      <c r="A50">
        <v>4</v>
      </c>
      <c r="B50">
        <v>5090</v>
      </c>
      <c r="C50" t="s">
        <v>7</v>
      </c>
    </row>
    <row r="51" spans="1:3" x14ac:dyDescent="0.25">
      <c r="A51">
        <v>133</v>
      </c>
      <c r="B51">
        <v>5090</v>
      </c>
      <c r="C51" t="s">
        <v>489</v>
      </c>
    </row>
    <row r="52" spans="1:3" x14ac:dyDescent="0.25">
      <c r="A52">
        <v>2570</v>
      </c>
      <c r="B52">
        <v>3209</v>
      </c>
      <c r="C52" t="s">
        <v>126</v>
      </c>
    </row>
    <row r="53" spans="1:3" x14ac:dyDescent="0.25">
      <c r="A53">
        <v>5942</v>
      </c>
      <c r="B53">
        <v>4201</v>
      </c>
      <c r="C53" t="s">
        <v>518</v>
      </c>
    </row>
    <row r="54" spans="1:3" x14ac:dyDescent="0.25">
      <c r="A54">
        <v>997</v>
      </c>
      <c r="B54">
        <v>2507</v>
      </c>
      <c r="C54" t="s">
        <v>59</v>
      </c>
    </row>
    <row r="55" spans="1:3" x14ac:dyDescent="0.25">
      <c r="A55">
        <v>2571</v>
      </c>
      <c r="B55">
        <v>3172</v>
      </c>
      <c r="C55" t="s">
        <v>128</v>
      </c>
    </row>
    <row r="56" spans="1:3" x14ac:dyDescent="0.25">
      <c r="A56">
        <v>4379</v>
      </c>
      <c r="B56">
        <v>4121</v>
      </c>
      <c r="C56" t="s">
        <v>514</v>
      </c>
    </row>
    <row r="57" spans="1:3" x14ac:dyDescent="0.25">
      <c r="A57">
        <v>3977</v>
      </c>
      <c r="B57">
        <v>7103</v>
      </c>
      <c r="C57" t="s">
        <v>222</v>
      </c>
    </row>
    <row r="58" spans="1:3" x14ac:dyDescent="0.25">
      <c r="A58">
        <v>5584</v>
      </c>
      <c r="B58">
        <v>9061</v>
      </c>
      <c r="C58" t="s">
        <v>279</v>
      </c>
    </row>
    <row r="59" spans="1:3" x14ac:dyDescent="0.25">
      <c r="A59">
        <v>2215</v>
      </c>
      <c r="B59">
        <v>6045</v>
      </c>
      <c r="C59" t="s">
        <v>105</v>
      </c>
    </row>
    <row r="60" spans="1:3" x14ac:dyDescent="0.25">
      <c r="A60">
        <v>2727</v>
      </c>
      <c r="B60">
        <v>3545</v>
      </c>
      <c r="C60" t="s">
        <v>161</v>
      </c>
    </row>
    <row r="61" spans="1:3" x14ac:dyDescent="0.25">
      <c r="A61">
        <v>5966</v>
      </c>
      <c r="B61">
        <v>8125</v>
      </c>
      <c r="C61" t="s">
        <v>342</v>
      </c>
    </row>
    <row r="62" spans="1:3" x14ac:dyDescent="0.25">
      <c r="A62">
        <v>3473</v>
      </c>
      <c r="B62">
        <v>6481</v>
      </c>
      <c r="C62" t="s">
        <v>434</v>
      </c>
    </row>
    <row r="63" spans="1:3" x14ac:dyDescent="0.25">
      <c r="A63">
        <v>5241</v>
      </c>
      <c r="B63">
        <v>8759</v>
      </c>
      <c r="C63" t="s">
        <v>267</v>
      </c>
    </row>
    <row r="64" spans="1:3" x14ac:dyDescent="0.25">
      <c r="A64">
        <v>5356</v>
      </c>
      <c r="B64">
        <v>8888</v>
      </c>
      <c r="C64" t="s">
        <v>273</v>
      </c>
    </row>
    <row r="65" spans="1:3" x14ac:dyDescent="0.25">
      <c r="A65">
        <v>1368</v>
      </c>
      <c r="B65">
        <v>5619</v>
      </c>
      <c r="C65" t="s">
        <v>456</v>
      </c>
    </row>
    <row r="66" spans="1:3" x14ac:dyDescent="0.25">
      <c r="A66">
        <v>3539</v>
      </c>
      <c r="B66">
        <v>6440</v>
      </c>
      <c r="C66" t="s">
        <v>206</v>
      </c>
    </row>
    <row r="67" spans="1:3" x14ac:dyDescent="0.25">
      <c r="A67">
        <v>3326</v>
      </c>
      <c r="B67">
        <v>3624</v>
      </c>
      <c r="C67" t="s">
        <v>189</v>
      </c>
    </row>
    <row r="68" spans="1:3" x14ac:dyDescent="0.25">
      <c r="A68">
        <v>1621</v>
      </c>
      <c r="B68">
        <v>8229</v>
      </c>
      <c r="C68" t="s">
        <v>614</v>
      </c>
    </row>
    <row r="69" spans="1:3" x14ac:dyDescent="0.25">
      <c r="A69">
        <v>1565</v>
      </c>
      <c r="B69">
        <v>8283</v>
      </c>
      <c r="C69" t="s">
        <v>610</v>
      </c>
    </row>
    <row r="70" spans="1:3" x14ac:dyDescent="0.25">
      <c r="A70">
        <v>3765</v>
      </c>
      <c r="B70">
        <v>3868</v>
      </c>
      <c r="C70" t="s">
        <v>568</v>
      </c>
    </row>
    <row r="71" spans="1:3" x14ac:dyDescent="0.25">
      <c r="A71">
        <v>1566</v>
      </c>
      <c r="B71">
        <v>8284</v>
      </c>
      <c r="C71" t="s">
        <v>618</v>
      </c>
    </row>
    <row r="72" spans="1:3" x14ac:dyDescent="0.25">
      <c r="A72">
        <v>1620</v>
      </c>
      <c r="B72">
        <v>8228</v>
      </c>
      <c r="C72" t="s">
        <v>612</v>
      </c>
    </row>
    <row r="73" spans="1:3" x14ac:dyDescent="0.25">
      <c r="A73">
        <v>5671</v>
      </c>
      <c r="B73">
        <v>4456</v>
      </c>
      <c r="C73" t="s">
        <v>290</v>
      </c>
    </row>
    <row r="74" spans="1:3" x14ac:dyDescent="0.25">
      <c r="A74">
        <v>5672</v>
      </c>
      <c r="B74">
        <v>4456</v>
      </c>
      <c r="C74" t="s">
        <v>291</v>
      </c>
    </row>
    <row r="75" spans="1:3" x14ac:dyDescent="0.25">
      <c r="A75">
        <v>5669</v>
      </c>
      <c r="B75">
        <v>4456</v>
      </c>
      <c r="C75" t="s">
        <v>287</v>
      </c>
    </row>
    <row r="76" spans="1:3" x14ac:dyDescent="0.25">
      <c r="A76">
        <v>5670</v>
      </c>
      <c r="B76">
        <v>4456</v>
      </c>
      <c r="C76" t="s">
        <v>289</v>
      </c>
    </row>
    <row r="77" spans="1:3" x14ac:dyDescent="0.25">
      <c r="A77">
        <v>1787</v>
      </c>
      <c r="B77">
        <v>3023</v>
      </c>
      <c r="C77" t="s">
        <v>536</v>
      </c>
    </row>
    <row r="78" spans="1:3" x14ac:dyDescent="0.25">
      <c r="A78">
        <v>1437</v>
      </c>
      <c r="B78">
        <v>5663</v>
      </c>
      <c r="C78" t="s">
        <v>464</v>
      </c>
    </row>
    <row r="79" spans="1:3" x14ac:dyDescent="0.25">
      <c r="A79">
        <v>3945</v>
      </c>
      <c r="B79">
        <v>7030</v>
      </c>
      <c r="C79" t="s">
        <v>326</v>
      </c>
    </row>
    <row r="80" spans="1:3" x14ac:dyDescent="0.25">
      <c r="A80">
        <v>4550</v>
      </c>
      <c r="B80">
        <v>6635</v>
      </c>
      <c r="C80" t="s">
        <v>482</v>
      </c>
    </row>
    <row r="81" spans="1:3" x14ac:dyDescent="0.25">
      <c r="A81" t="s">
        <v>626</v>
      </c>
      <c r="B81" t="s">
        <v>387</v>
      </c>
      <c r="C81" t="s">
        <v>528</v>
      </c>
    </row>
    <row r="82" spans="1:3" x14ac:dyDescent="0.25">
      <c r="A82">
        <v>4665</v>
      </c>
      <c r="B82">
        <v>7509</v>
      </c>
      <c r="C82" t="s">
        <v>421</v>
      </c>
    </row>
    <row r="83" spans="1:3" x14ac:dyDescent="0.25">
      <c r="A83">
        <v>2020</v>
      </c>
      <c r="B83">
        <v>5858</v>
      </c>
      <c r="C83" t="s">
        <v>446</v>
      </c>
    </row>
    <row r="84" spans="1:3" x14ac:dyDescent="0.25">
      <c r="A84">
        <v>5795</v>
      </c>
      <c r="B84">
        <v>4395</v>
      </c>
      <c r="C84" t="s">
        <v>526</v>
      </c>
    </row>
    <row r="85" spans="1:3" x14ac:dyDescent="0.25">
      <c r="A85">
        <v>3152</v>
      </c>
      <c r="B85">
        <v>8492</v>
      </c>
      <c r="C85" t="s">
        <v>178</v>
      </c>
    </row>
    <row r="86" spans="1:3" x14ac:dyDescent="0.25">
      <c r="A86">
        <v>3541</v>
      </c>
      <c r="B86">
        <v>6443</v>
      </c>
      <c r="C86" t="s">
        <v>208</v>
      </c>
    </row>
    <row r="87" spans="1:3" x14ac:dyDescent="0.25">
      <c r="A87">
        <v>4267</v>
      </c>
      <c r="B87">
        <v>7468</v>
      </c>
      <c r="C87" t="s">
        <v>229</v>
      </c>
    </row>
    <row r="88" spans="1:3" x14ac:dyDescent="0.25">
      <c r="A88">
        <v>3117</v>
      </c>
      <c r="B88">
        <v>8564</v>
      </c>
      <c r="C88" t="s">
        <v>576</v>
      </c>
    </row>
    <row r="89" spans="1:3" x14ac:dyDescent="0.25">
      <c r="A89">
        <v>3542</v>
      </c>
      <c r="B89">
        <v>6444</v>
      </c>
      <c r="C89" t="s">
        <v>210</v>
      </c>
    </row>
    <row r="90" spans="1:3" x14ac:dyDescent="0.25">
      <c r="A90">
        <v>3513</v>
      </c>
      <c r="B90">
        <v>6413</v>
      </c>
      <c r="C90" t="s">
        <v>204</v>
      </c>
    </row>
    <row r="91" spans="1:3" x14ac:dyDescent="0.25">
      <c r="A91">
        <v>3017</v>
      </c>
      <c r="B91">
        <v>6230</v>
      </c>
      <c r="C91" t="s">
        <v>171</v>
      </c>
    </row>
    <row r="92" spans="1:3" x14ac:dyDescent="0.25">
      <c r="A92">
        <v>694</v>
      </c>
      <c r="B92">
        <v>5469</v>
      </c>
      <c r="C92" t="s">
        <v>485</v>
      </c>
    </row>
    <row r="93" spans="1:3" x14ac:dyDescent="0.25">
      <c r="A93">
        <v>5135</v>
      </c>
      <c r="B93">
        <v>8656</v>
      </c>
      <c r="C93" t="s">
        <v>259</v>
      </c>
    </row>
    <row r="94" spans="1:3" x14ac:dyDescent="0.25">
      <c r="A94">
        <v>3177</v>
      </c>
      <c r="B94">
        <v>3753</v>
      </c>
      <c r="C94" t="s">
        <v>546</v>
      </c>
    </row>
    <row r="95" spans="1:3" x14ac:dyDescent="0.25">
      <c r="A95">
        <v>6068</v>
      </c>
      <c r="B95" t="s">
        <v>387</v>
      </c>
      <c r="C95" t="s">
        <v>327</v>
      </c>
    </row>
    <row r="96" spans="1:3" x14ac:dyDescent="0.25">
      <c r="A96">
        <v>227</v>
      </c>
      <c r="B96">
        <v>5028</v>
      </c>
      <c r="C96" t="s">
        <v>493</v>
      </c>
    </row>
    <row r="97" spans="1:3" x14ac:dyDescent="0.25">
      <c r="A97">
        <v>4292</v>
      </c>
      <c r="B97">
        <v>4107</v>
      </c>
      <c r="C97" t="s">
        <v>507</v>
      </c>
    </row>
    <row r="98" spans="1:3" x14ac:dyDescent="0.25">
      <c r="A98">
        <v>2965</v>
      </c>
      <c r="B98">
        <v>6333</v>
      </c>
      <c r="C98" t="s">
        <v>438</v>
      </c>
    </row>
    <row r="99" spans="1:3" x14ac:dyDescent="0.25">
      <c r="A99">
        <v>753</v>
      </c>
      <c r="B99">
        <v>5522</v>
      </c>
      <c r="C99" t="s">
        <v>474</v>
      </c>
    </row>
    <row r="100" spans="1:3" x14ac:dyDescent="0.25">
      <c r="A100">
        <v>4029</v>
      </c>
      <c r="B100">
        <v>7229</v>
      </c>
      <c r="C100" t="s">
        <v>407</v>
      </c>
    </row>
    <row r="101" spans="1:3" x14ac:dyDescent="0.25">
      <c r="A101">
        <v>4951</v>
      </c>
      <c r="B101">
        <v>4287</v>
      </c>
      <c r="C101" t="s">
        <v>251</v>
      </c>
    </row>
    <row r="102" spans="1:3" x14ac:dyDescent="0.25">
      <c r="A102">
        <v>199</v>
      </c>
      <c r="B102">
        <v>5205</v>
      </c>
      <c r="C102" t="s">
        <v>17</v>
      </c>
    </row>
    <row r="103" spans="1:3" x14ac:dyDescent="0.25">
      <c r="A103">
        <v>2301</v>
      </c>
      <c r="B103">
        <v>5953</v>
      </c>
      <c r="C103" t="s">
        <v>452</v>
      </c>
    </row>
    <row r="104" spans="1:3" x14ac:dyDescent="0.25">
      <c r="A104">
        <v>2580</v>
      </c>
      <c r="B104">
        <v>3181</v>
      </c>
      <c r="C104" t="s">
        <v>132</v>
      </c>
    </row>
    <row r="105" spans="1:3" x14ac:dyDescent="0.25">
      <c r="A105">
        <v>1347</v>
      </c>
      <c r="B105">
        <v>5666</v>
      </c>
      <c r="C105" t="s">
        <v>454</v>
      </c>
    </row>
    <row r="106" spans="1:3" x14ac:dyDescent="0.25">
      <c r="A106">
        <v>1200</v>
      </c>
      <c r="B106">
        <v>2802</v>
      </c>
      <c r="C106" t="s">
        <v>529</v>
      </c>
    </row>
    <row r="107" spans="1:3" x14ac:dyDescent="0.25">
      <c r="A107">
        <v>4338</v>
      </c>
      <c r="B107">
        <v>4101</v>
      </c>
      <c r="C107" t="s">
        <v>234</v>
      </c>
    </row>
    <row r="108" spans="1:3" x14ac:dyDescent="0.25">
      <c r="A108">
        <v>4397</v>
      </c>
      <c r="B108">
        <v>4080</v>
      </c>
      <c r="C108" t="s">
        <v>236</v>
      </c>
    </row>
    <row r="109" spans="1:3" x14ac:dyDescent="0.25">
      <c r="A109">
        <v>4584</v>
      </c>
      <c r="B109">
        <v>6598</v>
      </c>
      <c r="C109" t="s">
        <v>470</v>
      </c>
    </row>
    <row r="110" spans="1:3" x14ac:dyDescent="0.25">
      <c r="A110">
        <v>4585</v>
      </c>
      <c r="B110">
        <v>6599</v>
      </c>
      <c r="C110" t="s">
        <v>240</v>
      </c>
    </row>
    <row r="111" spans="1:3" x14ac:dyDescent="0.25">
      <c r="A111">
        <v>4925</v>
      </c>
      <c r="B111">
        <v>4233</v>
      </c>
      <c r="C111" t="s">
        <v>249</v>
      </c>
    </row>
    <row r="112" spans="1:3" x14ac:dyDescent="0.25">
      <c r="A112">
        <v>4219</v>
      </c>
      <c r="B112">
        <v>7430</v>
      </c>
      <c r="C112" t="s">
        <v>226</v>
      </c>
    </row>
    <row r="113" spans="1:3" x14ac:dyDescent="0.25">
      <c r="A113">
        <v>4003</v>
      </c>
      <c r="B113">
        <v>7148</v>
      </c>
      <c r="C113" t="s">
        <v>409</v>
      </c>
    </row>
    <row r="114" spans="1:3" x14ac:dyDescent="0.25">
      <c r="A114">
        <v>5761</v>
      </c>
      <c r="B114">
        <v>4468</v>
      </c>
      <c r="C114" t="s">
        <v>296</v>
      </c>
    </row>
    <row r="115" spans="1:3" x14ac:dyDescent="0.25">
      <c r="A115" t="s">
        <v>628</v>
      </c>
      <c r="B115" t="s">
        <v>387</v>
      </c>
      <c r="C115" t="s">
        <v>491</v>
      </c>
    </row>
    <row r="116" spans="1:3" x14ac:dyDescent="0.25">
      <c r="A116">
        <v>3105</v>
      </c>
      <c r="B116">
        <v>8461</v>
      </c>
      <c r="C116" t="s">
        <v>574</v>
      </c>
    </row>
    <row r="117" spans="1:3" x14ac:dyDescent="0.25">
      <c r="A117" t="s">
        <v>625</v>
      </c>
      <c r="B117" t="s">
        <v>387</v>
      </c>
      <c r="C117" t="s">
        <v>322</v>
      </c>
    </row>
    <row r="118" spans="1:3" x14ac:dyDescent="0.25">
      <c r="A118">
        <v>3551</v>
      </c>
      <c r="B118">
        <v>6479</v>
      </c>
      <c r="C118" t="s">
        <v>462</v>
      </c>
    </row>
    <row r="119" spans="1:3" x14ac:dyDescent="0.25">
      <c r="A119">
        <v>758</v>
      </c>
      <c r="B119">
        <v>5527</v>
      </c>
      <c r="C119" t="s">
        <v>44</v>
      </c>
    </row>
    <row r="120" spans="1:3" x14ac:dyDescent="0.25">
      <c r="A120">
        <v>3333</v>
      </c>
      <c r="B120">
        <v>3632</v>
      </c>
      <c r="C120" t="s">
        <v>44</v>
      </c>
    </row>
    <row r="121" spans="1:3" x14ac:dyDescent="0.25">
      <c r="A121">
        <v>5385</v>
      </c>
      <c r="B121">
        <v>8852</v>
      </c>
      <c r="C121" t="s">
        <v>44</v>
      </c>
    </row>
    <row r="122" spans="1:3" x14ac:dyDescent="0.25">
      <c r="A122">
        <v>3098</v>
      </c>
      <c r="B122">
        <v>8463</v>
      </c>
      <c r="C122" t="s">
        <v>176</v>
      </c>
    </row>
    <row r="123" spans="1:3" x14ac:dyDescent="0.25">
      <c r="A123">
        <v>5350</v>
      </c>
      <c r="B123">
        <v>8881</v>
      </c>
      <c r="C123" t="s">
        <v>271</v>
      </c>
    </row>
    <row r="124" spans="1:3" x14ac:dyDescent="0.25">
      <c r="A124">
        <v>5301</v>
      </c>
      <c r="B124">
        <v>8897</v>
      </c>
      <c r="C124" t="s">
        <v>584</v>
      </c>
    </row>
    <row r="125" spans="1:3" x14ac:dyDescent="0.25">
      <c r="A125">
        <v>5828</v>
      </c>
      <c r="B125">
        <v>4550</v>
      </c>
      <c r="C125" t="s">
        <v>563</v>
      </c>
    </row>
    <row r="126" spans="1:3" x14ac:dyDescent="0.25">
      <c r="A126">
        <v>2065</v>
      </c>
      <c r="B126">
        <v>5765</v>
      </c>
      <c r="C126" t="s">
        <v>101</v>
      </c>
    </row>
    <row r="127" spans="1:3" x14ac:dyDescent="0.25">
      <c r="A127">
        <v>2640</v>
      </c>
      <c r="B127">
        <v>3394</v>
      </c>
      <c r="C127" t="s">
        <v>148</v>
      </c>
    </row>
    <row r="128" spans="1:3" x14ac:dyDescent="0.25">
      <c r="A128">
        <v>5132</v>
      </c>
      <c r="B128">
        <v>8618</v>
      </c>
      <c r="C128" t="s">
        <v>578</v>
      </c>
    </row>
    <row r="129" spans="1:3" x14ac:dyDescent="0.25">
      <c r="A129">
        <v>5696</v>
      </c>
      <c r="B129">
        <v>4508</v>
      </c>
      <c r="C129" t="s">
        <v>292</v>
      </c>
    </row>
    <row r="130" spans="1:3" x14ac:dyDescent="0.25">
      <c r="A130">
        <v>3334</v>
      </c>
      <c r="B130">
        <v>3633</v>
      </c>
      <c r="C130" t="s">
        <v>192</v>
      </c>
    </row>
    <row r="131" spans="1:3" x14ac:dyDescent="0.25">
      <c r="A131">
        <v>5699</v>
      </c>
      <c r="B131">
        <v>4571</v>
      </c>
      <c r="C131" t="s">
        <v>294</v>
      </c>
    </row>
    <row r="132" spans="1:3" x14ac:dyDescent="0.25">
      <c r="A132">
        <v>2584</v>
      </c>
      <c r="B132">
        <v>3185</v>
      </c>
      <c r="C132" t="s">
        <v>134</v>
      </c>
    </row>
    <row r="133" spans="1:3" x14ac:dyDescent="0.25">
      <c r="A133">
        <v>5141</v>
      </c>
      <c r="B133">
        <v>8661</v>
      </c>
      <c r="C133" t="s">
        <v>580</v>
      </c>
    </row>
    <row r="134" spans="1:3" x14ac:dyDescent="0.25">
      <c r="A134">
        <v>1882</v>
      </c>
      <c r="B134">
        <v>5861</v>
      </c>
      <c r="C134" t="s">
        <v>444</v>
      </c>
    </row>
    <row r="135" spans="1:3" x14ac:dyDescent="0.25">
      <c r="A135">
        <v>4752</v>
      </c>
      <c r="B135">
        <v>7665</v>
      </c>
      <c r="C135" t="s">
        <v>242</v>
      </c>
    </row>
    <row r="136" spans="1:3" x14ac:dyDescent="0.25">
      <c r="A136">
        <v>2066</v>
      </c>
      <c r="B136">
        <v>5766</v>
      </c>
      <c r="C136" t="s">
        <v>103</v>
      </c>
    </row>
    <row r="137" spans="1:3" x14ac:dyDescent="0.25">
      <c r="A137">
        <v>843</v>
      </c>
      <c r="B137">
        <v>8176</v>
      </c>
      <c r="C137" t="s">
        <v>49</v>
      </c>
    </row>
    <row r="138" spans="1:3" x14ac:dyDescent="0.25">
      <c r="A138">
        <v>913</v>
      </c>
      <c r="B138">
        <v>8176</v>
      </c>
      <c r="C138" t="s">
        <v>49</v>
      </c>
    </row>
    <row r="139" spans="1:3" x14ac:dyDescent="0.25">
      <c r="A139">
        <v>2770</v>
      </c>
      <c r="B139">
        <v>6302</v>
      </c>
      <c r="C139" t="s">
        <v>466</v>
      </c>
    </row>
    <row r="140" spans="1:3" x14ac:dyDescent="0.25">
      <c r="A140">
        <v>4560</v>
      </c>
      <c r="B140">
        <v>6645</v>
      </c>
      <c r="C140" t="s">
        <v>476</v>
      </c>
    </row>
    <row r="141" spans="1:3" x14ac:dyDescent="0.25">
      <c r="A141">
        <v>3775</v>
      </c>
      <c r="B141">
        <v>3876</v>
      </c>
      <c r="C141" t="s">
        <v>559</v>
      </c>
    </row>
    <row r="142" spans="1:3" x14ac:dyDescent="0.25">
      <c r="A142">
        <v>5571</v>
      </c>
      <c r="B142">
        <v>9046</v>
      </c>
      <c r="C142" t="s">
        <v>601</v>
      </c>
    </row>
    <row r="143" spans="1:3" x14ac:dyDescent="0.25">
      <c r="A143">
        <v>2711</v>
      </c>
      <c r="B143">
        <v>3509</v>
      </c>
      <c r="C143" t="s">
        <v>158</v>
      </c>
    </row>
    <row r="144" spans="1:3" x14ac:dyDescent="0.25">
      <c r="A144">
        <v>1269</v>
      </c>
      <c r="B144">
        <v>2905</v>
      </c>
      <c r="C144" t="s">
        <v>566</v>
      </c>
    </row>
    <row r="145" spans="1:3" x14ac:dyDescent="0.25">
      <c r="A145">
        <v>3414</v>
      </c>
      <c r="B145">
        <v>3715</v>
      </c>
      <c r="C145" t="s">
        <v>198</v>
      </c>
    </row>
    <row r="146" spans="1:3" x14ac:dyDescent="0.25">
      <c r="A146">
        <v>5961</v>
      </c>
      <c r="B146">
        <v>2681</v>
      </c>
      <c r="C146" t="s">
        <v>531</v>
      </c>
    </row>
    <row r="147" spans="1:3" x14ac:dyDescent="0.25">
      <c r="A147">
        <v>4540</v>
      </c>
      <c r="B147">
        <v>6557</v>
      </c>
      <c r="C147" t="s">
        <v>480</v>
      </c>
    </row>
    <row r="148" spans="1:3" x14ac:dyDescent="0.25">
      <c r="A148">
        <v>2587</v>
      </c>
      <c r="B148">
        <v>3188</v>
      </c>
      <c r="C148" t="s">
        <v>136</v>
      </c>
    </row>
    <row r="149" spans="1:3" x14ac:dyDescent="0.25">
      <c r="A149">
        <v>940</v>
      </c>
      <c r="B149">
        <v>2527</v>
      </c>
      <c r="C149" t="s">
        <v>495</v>
      </c>
    </row>
    <row r="150" spans="1:3" x14ac:dyDescent="0.25">
      <c r="A150">
        <v>2713</v>
      </c>
      <c r="B150">
        <v>3511</v>
      </c>
      <c r="C150" t="s">
        <v>160</v>
      </c>
    </row>
    <row r="151" spans="1:3" x14ac:dyDescent="0.25">
      <c r="A151">
        <v>1630</v>
      </c>
      <c r="B151">
        <v>8241</v>
      </c>
      <c r="C151" t="s">
        <v>616</v>
      </c>
    </row>
    <row r="152" spans="1:3" x14ac:dyDescent="0.25">
      <c r="A152">
        <v>2593</v>
      </c>
      <c r="B152">
        <v>3195</v>
      </c>
      <c r="C152" t="s">
        <v>501</v>
      </c>
    </row>
    <row r="153" spans="1:3" x14ac:dyDescent="0.25">
      <c r="A153">
        <v>3559</v>
      </c>
      <c r="B153">
        <v>6459</v>
      </c>
      <c r="C153" t="s">
        <v>436</v>
      </c>
    </row>
    <row r="154" spans="1:3" x14ac:dyDescent="0.25">
      <c r="A154">
        <v>1820</v>
      </c>
      <c r="B154">
        <v>3106</v>
      </c>
      <c r="C154" t="s">
        <v>544</v>
      </c>
    </row>
    <row r="155" spans="1:3" x14ac:dyDescent="0.25">
      <c r="A155">
        <v>2594</v>
      </c>
      <c r="B155">
        <v>3197</v>
      </c>
      <c r="C155" t="s">
        <v>138</v>
      </c>
    </row>
    <row r="156" spans="1:3" x14ac:dyDescent="0.25">
      <c r="A156">
        <v>3706</v>
      </c>
      <c r="B156">
        <v>3916</v>
      </c>
      <c r="C156" t="s">
        <v>555</v>
      </c>
    </row>
    <row r="157" spans="1:3" x14ac:dyDescent="0.25">
      <c r="A157">
        <v>4979</v>
      </c>
      <c r="B157">
        <v>4325</v>
      </c>
      <c r="C157" t="s">
        <v>255</v>
      </c>
    </row>
    <row r="158" spans="1:3" x14ac:dyDescent="0.25">
      <c r="A158">
        <v>2733</v>
      </c>
      <c r="B158">
        <v>3550</v>
      </c>
      <c r="C158" t="s">
        <v>163</v>
      </c>
    </row>
    <row r="159" spans="1:3" x14ac:dyDescent="0.25">
      <c r="A159">
        <v>5659</v>
      </c>
      <c r="B159">
        <v>9000</v>
      </c>
      <c r="C159" t="s">
        <v>285</v>
      </c>
    </row>
    <row r="160" spans="1:3" x14ac:dyDescent="0.25">
      <c r="A160">
        <v>3340</v>
      </c>
      <c r="B160">
        <v>3642</v>
      </c>
      <c r="C160" t="s">
        <v>194</v>
      </c>
    </row>
    <row r="161" spans="1:3" x14ac:dyDescent="0.25">
      <c r="A161">
        <v>1070</v>
      </c>
      <c r="B161">
        <v>2625</v>
      </c>
      <c r="C161" t="s">
        <v>66</v>
      </c>
    </row>
    <row r="162" spans="1:3" x14ac:dyDescent="0.25">
      <c r="A162">
        <v>4332</v>
      </c>
      <c r="B162">
        <v>4197</v>
      </c>
      <c r="C162" t="s">
        <v>509</v>
      </c>
    </row>
    <row r="163" spans="1:3" x14ac:dyDescent="0.25">
      <c r="A163">
        <v>5608</v>
      </c>
      <c r="B163">
        <v>9083</v>
      </c>
      <c r="C163" t="s">
        <v>281</v>
      </c>
    </row>
    <row r="164" spans="1:3" x14ac:dyDescent="0.25">
      <c r="A164">
        <v>2643</v>
      </c>
      <c r="B164">
        <v>3398</v>
      </c>
      <c r="C164" t="s">
        <v>150</v>
      </c>
    </row>
    <row r="165" spans="1:3" x14ac:dyDescent="0.25">
      <c r="A165">
        <v>3172</v>
      </c>
      <c r="B165">
        <v>8517</v>
      </c>
      <c r="C165" t="s">
        <v>180</v>
      </c>
    </row>
    <row r="166" spans="1:3" x14ac:dyDescent="0.25">
      <c r="A166">
        <v>2009</v>
      </c>
      <c r="B166">
        <v>5809</v>
      </c>
      <c r="C166" t="s">
        <v>99</v>
      </c>
    </row>
    <row r="167" spans="1:3" x14ac:dyDescent="0.25">
      <c r="A167">
        <v>10</v>
      </c>
      <c r="B167">
        <v>5104</v>
      </c>
      <c r="C167" t="s">
        <v>11</v>
      </c>
    </row>
    <row r="168" spans="1:3" x14ac:dyDescent="0.25">
      <c r="A168">
        <v>2596</v>
      </c>
      <c r="B168">
        <v>3199</v>
      </c>
      <c r="C168" t="s">
        <v>503</v>
      </c>
    </row>
    <row r="169" spans="1:3" x14ac:dyDescent="0.25">
      <c r="A169">
        <v>2597</v>
      </c>
      <c r="B169">
        <v>3200</v>
      </c>
      <c r="C169" t="s">
        <v>505</v>
      </c>
    </row>
    <row r="170" spans="1:3" x14ac:dyDescent="0.25">
      <c r="A170">
        <v>1102</v>
      </c>
      <c r="B170">
        <v>2930</v>
      </c>
      <c r="C170" t="s">
        <v>68</v>
      </c>
    </row>
    <row r="171" spans="1:3" x14ac:dyDescent="0.25">
      <c r="A171">
        <v>2023</v>
      </c>
      <c r="B171">
        <v>5862</v>
      </c>
      <c r="C171" t="s">
        <v>448</v>
      </c>
    </row>
    <row r="172" spans="1:3" x14ac:dyDescent="0.25">
      <c r="A172">
        <v>5408</v>
      </c>
      <c r="B172">
        <v>9108</v>
      </c>
      <c r="C172" t="s">
        <v>590</v>
      </c>
    </row>
    <row r="173" spans="1:3" x14ac:dyDescent="0.25">
      <c r="A173">
        <v>1279</v>
      </c>
      <c r="B173">
        <v>2936</v>
      </c>
      <c r="C173" t="s">
        <v>533</v>
      </c>
    </row>
    <row r="174" spans="1:3" x14ac:dyDescent="0.25">
      <c r="A174">
        <v>1584</v>
      </c>
      <c r="B174">
        <v>8304</v>
      </c>
      <c r="C174" t="s">
        <v>88</v>
      </c>
    </row>
    <row r="175" spans="1:3" x14ac:dyDescent="0.25">
      <c r="A175">
        <v>2086</v>
      </c>
      <c r="B175">
        <v>5872</v>
      </c>
      <c r="C175" t="s">
        <v>430</v>
      </c>
    </row>
    <row r="176" spans="1:3" x14ac:dyDescent="0.25">
      <c r="A176">
        <v>2347</v>
      </c>
      <c r="B176">
        <v>5997</v>
      </c>
      <c r="C176" t="s">
        <v>109</v>
      </c>
    </row>
    <row r="177" spans="1:3" x14ac:dyDescent="0.25">
      <c r="A177">
        <v>2348</v>
      </c>
      <c r="B177">
        <v>5999</v>
      </c>
      <c r="C177" t="s">
        <v>111</v>
      </c>
    </row>
    <row r="178" spans="1:3" x14ac:dyDescent="0.25">
      <c r="A178">
        <v>2351</v>
      </c>
      <c r="B178">
        <v>5963</v>
      </c>
      <c r="C178" t="s">
        <v>112</v>
      </c>
    </row>
    <row r="179" spans="1:3" x14ac:dyDescent="0.25">
      <c r="A179">
        <v>2352</v>
      </c>
      <c r="B179">
        <v>6003</v>
      </c>
      <c r="C179" t="s">
        <v>450</v>
      </c>
    </row>
    <row r="180" spans="1:3" x14ac:dyDescent="0.25">
      <c r="A180">
        <v>4386</v>
      </c>
      <c r="B180">
        <v>4119</v>
      </c>
      <c r="C180" t="s">
        <v>516</v>
      </c>
    </row>
    <row r="181" spans="1:3" x14ac:dyDescent="0.25">
      <c r="A181">
        <v>1487</v>
      </c>
      <c r="B181">
        <v>8256</v>
      </c>
      <c r="C181" t="s">
        <v>608</v>
      </c>
    </row>
    <row r="182" spans="1:3" x14ac:dyDescent="0.25">
      <c r="A182">
        <v>5611</v>
      </c>
      <c r="B182">
        <v>9086</v>
      </c>
      <c r="C182" t="s">
        <v>283</v>
      </c>
    </row>
    <row r="183" spans="1:3" x14ac:dyDescent="0.25">
      <c r="A183">
        <v>3208</v>
      </c>
      <c r="B183">
        <v>9481</v>
      </c>
      <c r="C183" t="s">
        <v>184</v>
      </c>
    </row>
    <row r="184" spans="1:3" x14ac:dyDescent="0.25">
      <c r="A184">
        <v>5917</v>
      </c>
      <c r="B184">
        <v>9481</v>
      </c>
      <c r="C184" t="s">
        <v>184</v>
      </c>
    </row>
    <row r="185" spans="1:3" x14ac:dyDescent="0.25">
      <c r="A185">
        <v>3345</v>
      </c>
      <c r="B185">
        <v>3644</v>
      </c>
      <c r="C185" t="s">
        <v>196</v>
      </c>
    </row>
    <row r="186" spans="1:3" x14ac:dyDescent="0.25">
      <c r="A186">
        <v>4991</v>
      </c>
      <c r="B186">
        <v>4353</v>
      </c>
      <c r="C186" t="s">
        <v>257</v>
      </c>
    </row>
    <row r="187" spans="1:3" x14ac:dyDescent="0.25">
      <c r="A187">
        <v>4657</v>
      </c>
      <c r="B187">
        <v>7825</v>
      </c>
      <c r="C187" t="s">
        <v>423</v>
      </c>
    </row>
    <row r="188" spans="1:3" x14ac:dyDescent="0.25">
      <c r="A188">
        <v>448</v>
      </c>
      <c r="B188">
        <v>8079</v>
      </c>
      <c r="C188" t="s">
        <v>32</v>
      </c>
    </row>
    <row r="189" spans="1:3" x14ac:dyDescent="0.25">
      <c r="A189">
        <v>1038</v>
      </c>
      <c r="B189">
        <v>2586</v>
      </c>
      <c r="C189" t="s">
        <v>61</v>
      </c>
    </row>
    <row r="190" spans="1:3" x14ac:dyDescent="0.25">
      <c r="A190">
        <v>1049</v>
      </c>
      <c r="B190">
        <v>2586</v>
      </c>
      <c r="C190" t="s">
        <v>65</v>
      </c>
    </row>
    <row r="191" spans="1:3" x14ac:dyDescent="0.25">
      <c r="A191">
        <v>3748</v>
      </c>
      <c r="B191">
        <v>3993</v>
      </c>
      <c r="C191" t="s">
        <v>216</v>
      </c>
    </row>
    <row r="192" spans="1:3" x14ac:dyDescent="0.25">
      <c r="A192">
        <v>2470</v>
      </c>
      <c r="B192">
        <v>3466</v>
      </c>
      <c r="C192" t="s">
        <v>497</v>
      </c>
    </row>
    <row r="193" spans="1:3" x14ac:dyDescent="0.25">
      <c r="A193">
        <v>2467</v>
      </c>
      <c r="B193">
        <v>3466</v>
      </c>
      <c r="C193" t="s">
        <v>320</v>
      </c>
    </row>
    <row r="194" spans="1:3" x14ac:dyDescent="0.25">
      <c r="A194">
        <v>4941</v>
      </c>
      <c r="B194">
        <v>4261</v>
      </c>
      <c r="C194" t="s">
        <v>561</v>
      </c>
    </row>
    <row r="195" spans="1:3" x14ac:dyDescent="0.25">
      <c r="A195">
        <v>1194</v>
      </c>
      <c r="B195">
        <v>2673</v>
      </c>
      <c r="C195" t="s">
        <v>77</v>
      </c>
    </row>
    <row r="196" spans="1:3" x14ac:dyDescent="0.25">
      <c r="A196">
        <v>5919</v>
      </c>
      <c r="B196">
        <v>9484</v>
      </c>
      <c r="C196" t="s">
        <v>312</v>
      </c>
    </row>
    <row r="197" spans="1:3" x14ac:dyDescent="0.25">
      <c r="A197">
        <v>6055</v>
      </c>
      <c r="B197" t="s">
        <v>387</v>
      </c>
      <c r="C197" t="s">
        <v>540</v>
      </c>
    </row>
    <row r="198" spans="1:3" x14ac:dyDescent="0.25">
      <c r="A198">
        <v>6026</v>
      </c>
      <c r="B198">
        <v>2679</v>
      </c>
      <c r="C198" t="s">
        <v>535</v>
      </c>
    </row>
    <row r="199" spans="1:3" x14ac:dyDescent="0.25">
      <c r="A199">
        <v>6027</v>
      </c>
      <c r="B199">
        <v>2680</v>
      </c>
      <c r="C199" t="s">
        <v>336</v>
      </c>
    </row>
    <row r="200" spans="1:3" x14ac:dyDescent="0.25">
      <c r="A200">
        <v>1812</v>
      </c>
      <c r="B200">
        <v>3115</v>
      </c>
      <c r="C200" t="s">
        <v>337</v>
      </c>
    </row>
    <row r="201" spans="1:3" x14ac:dyDescent="0.25">
      <c r="A201">
        <v>3592</v>
      </c>
      <c r="B201">
        <v>3901</v>
      </c>
      <c r="C201" t="s">
        <v>553</v>
      </c>
    </row>
    <row r="202" spans="1:3" x14ac:dyDescent="0.25">
      <c r="A202">
        <v>2122</v>
      </c>
      <c r="B202">
        <v>5812</v>
      </c>
      <c r="C202" t="s">
        <v>323</v>
      </c>
    </row>
    <row r="203" spans="1:3" x14ac:dyDescent="0.25">
      <c r="A203">
        <v>2603</v>
      </c>
      <c r="B203">
        <v>3206</v>
      </c>
      <c r="C203" t="s">
        <v>140</v>
      </c>
    </row>
    <row r="204" spans="1:3" x14ac:dyDescent="0.25">
      <c r="A204">
        <v>2647</v>
      </c>
      <c r="B204">
        <v>3404</v>
      </c>
      <c r="C204" t="s">
        <v>152</v>
      </c>
    </row>
    <row r="205" spans="1:3" x14ac:dyDescent="0.25">
      <c r="A205">
        <v>664</v>
      </c>
      <c r="B205">
        <v>5285</v>
      </c>
      <c r="C205" t="s">
        <v>40</v>
      </c>
    </row>
    <row r="206" spans="1:3" x14ac:dyDescent="0.25">
      <c r="A206">
        <v>424</v>
      </c>
      <c r="B206">
        <v>8044</v>
      </c>
      <c r="C206" t="s">
        <v>30</v>
      </c>
    </row>
    <row r="207" spans="1:3" x14ac:dyDescent="0.25">
      <c r="A207">
        <v>1386</v>
      </c>
      <c r="B207">
        <v>5638</v>
      </c>
      <c r="C207" t="s">
        <v>84</v>
      </c>
    </row>
    <row r="208" spans="1:3" x14ac:dyDescent="0.25">
      <c r="A208">
        <v>1765</v>
      </c>
      <c r="B208">
        <v>3000</v>
      </c>
      <c r="C208" t="s">
        <v>538</v>
      </c>
    </row>
    <row r="209" spans="1:3" x14ac:dyDescent="0.25">
      <c r="A209">
        <v>1592</v>
      </c>
      <c r="B209">
        <v>8311</v>
      </c>
      <c r="C209" t="s">
        <v>90</v>
      </c>
    </row>
    <row r="210" spans="1:3" x14ac:dyDescent="0.25">
      <c r="A210">
        <v>2648</v>
      </c>
      <c r="B210">
        <v>3409</v>
      </c>
      <c r="C210" t="s">
        <v>332</v>
      </c>
    </row>
    <row r="211" spans="1:3" x14ac:dyDescent="0.25">
      <c r="A211">
        <v>2555</v>
      </c>
      <c r="B211">
        <v>3325</v>
      </c>
      <c r="C211" t="s">
        <v>118</v>
      </c>
    </row>
    <row r="212" spans="1:3" x14ac:dyDescent="0.25">
      <c r="A212">
        <v>2993</v>
      </c>
      <c r="B212">
        <v>6379</v>
      </c>
      <c r="C212" t="s">
        <v>167</v>
      </c>
    </row>
    <row r="213" spans="1:3" x14ac:dyDescent="0.25">
      <c r="A213">
        <v>2994</v>
      </c>
      <c r="B213">
        <v>6380</v>
      </c>
      <c r="C213" t="s">
        <v>169</v>
      </c>
    </row>
    <row r="214" spans="1:3" x14ac:dyDescent="0.25">
      <c r="A214">
        <v>726</v>
      </c>
      <c r="B214">
        <v>5317</v>
      </c>
      <c r="C214" t="s">
        <v>42</v>
      </c>
    </row>
    <row r="215" spans="1:3" x14ac:dyDescent="0.25">
      <c r="A215">
        <v>2529</v>
      </c>
      <c r="B215">
        <v>3283</v>
      </c>
      <c r="C215" t="s">
        <v>116</v>
      </c>
    </row>
    <row r="216" spans="1:3" x14ac:dyDescent="0.25">
      <c r="A216">
        <v>881</v>
      </c>
      <c r="B216">
        <v>8118</v>
      </c>
      <c r="C216" t="s">
        <v>51</v>
      </c>
    </row>
    <row r="217" spans="1:3" x14ac:dyDescent="0.25">
      <c r="A217">
        <v>5882</v>
      </c>
      <c r="B217">
        <v>9495</v>
      </c>
      <c r="C217" t="s">
        <v>299</v>
      </c>
    </row>
    <row r="218" spans="1:3" x14ac:dyDescent="0.25">
      <c r="A218">
        <v>458</v>
      </c>
      <c r="B218">
        <v>9026</v>
      </c>
      <c r="C218" t="s">
        <v>34</v>
      </c>
    </row>
    <row r="219" spans="1:3" x14ac:dyDescent="0.25">
      <c r="A219">
        <v>5877</v>
      </c>
      <c r="B219">
        <v>7517</v>
      </c>
      <c r="C219" t="s">
        <v>366</v>
      </c>
    </row>
    <row r="220" spans="1:3" x14ac:dyDescent="0.25">
      <c r="A220">
        <v>5901</v>
      </c>
      <c r="B220">
        <v>9454</v>
      </c>
      <c r="C220" t="s">
        <v>367</v>
      </c>
    </row>
    <row r="221" spans="1:3" x14ac:dyDescent="0.25">
      <c r="A221">
        <v>5902</v>
      </c>
      <c r="B221">
        <v>7516</v>
      </c>
      <c r="C221" t="s">
        <v>304</v>
      </c>
    </row>
    <row r="222" spans="1:3" x14ac:dyDescent="0.25">
      <c r="A222">
        <v>4231</v>
      </c>
      <c r="B222">
        <v>7453</v>
      </c>
      <c r="C222" t="s">
        <v>417</v>
      </c>
    </row>
    <row r="223" spans="1:3" x14ac:dyDescent="0.25">
      <c r="A223">
        <v>5925</v>
      </c>
      <c r="B223">
        <v>9122</v>
      </c>
      <c r="C223" t="s">
        <v>316</v>
      </c>
    </row>
    <row r="224" spans="1:3" x14ac:dyDescent="0.25">
      <c r="A224">
        <v>5522</v>
      </c>
      <c r="B224">
        <v>8981</v>
      </c>
      <c r="C224" t="s">
        <v>620</v>
      </c>
    </row>
    <row r="225" spans="1:3" x14ac:dyDescent="0.25">
      <c r="A225">
        <v>2660</v>
      </c>
      <c r="B225">
        <v>3420</v>
      </c>
      <c r="C225" t="s">
        <v>157</v>
      </c>
    </row>
    <row r="226" spans="1:3" x14ac:dyDescent="0.25">
      <c r="A226">
        <v>2447</v>
      </c>
      <c r="B226">
        <v>3414</v>
      </c>
      <c r="C226" t="s">
        <v>114</v>
      </c>
    </row>
    <row r="227" spans="1:3" x14ac:dyDescent="0.25">
      <c r="A227">
        <v>2659</v>
      </c>
      <c r="B227">
        <v>3419</v>
      </c>
      <c r="C227" t="s">
        <v>156</v>
      </c>
    </row>
    <row r="228" spans="1:3" x14ac:dyDescent="0.25">
      <c r="A228">
        <v>2656</v>
      </c>
      <c r="B228">
        <v>3415</v>
      </c>
      <c r="C228" t="s">
        <v>154</v>
      </c>
    </row>
    <row r="229" spans="1:3" x14ac:dyDescent="0.25">
      <c r="A229">
        <v>5943</v>
      </c>
      <c r="B229">
        <v>4200</v>
      </c>
      <c r="C229" t="s">
        <v>511</v>
      </c>
    </row>
    <row r="230" spans="1:3" x14ac:dyDescent="0.25">
      <c r="A230">
        <v>3442</v>
      </c>
      <c r="B230">
        <v>6527</v>
      </c>
      <c r="C230" t="s">
        <v>202</v>
      </c>
    </row>
    <row r="231" spans="1:3" x14ac:dyDescent="0.25">
      <c r="A231">
        <v>3433</v>
      </c>
      <c r="B231">
        <v>6527</v>
      </c>
      <c r="C231" t="s">
        <v>469</v>
      </c>
    </row>
    <row r="232" spans="1:3" x14ac:dyDescent="0.25">
      <c r="A232">
        <v>3432</v>
      </c>
      <c r="B232">
        <v>6527</v>
      </c>
      <c r="C232" t="s">
        <v>468</v>
      </c>
    </row>
    <row r="233" spans="1:3" x14ac:dyDescent="0.25">
      <c r="A233">
        <v>3995</v>
      </c>
      <c r="B233">
        <v>7124</v>
      </c>
      <c r="C233" t="s">
        <v>411</v>
      </c>
    </row>
    <row r="234" spans="1:3" x14ac:dyDescent="0.25">
      <c r="A234">
        <v>2382</v>
      </c>
      <c r="B234">
        <v>6164</v>
      </c>
      <c r="C234" t="s">
        <v>478</v>
      </c>
    </row>
    <row r="235" spans="1:3" x14ac:dyDescent="0.25">
      <c r="A235">
        <v>409</v>
      </c>
      <c r="B235">
        <v>8009</v>
      </c>
      <c r="C235" t="s">
        <v>28</v>
      </c>
    </row>
    <row r="236" spans="1:3" x14ac:dyDescent="0.25">
      <c r="A236">
        <v>2525</v>
      </c>
      <c r="B236">
        <v>3262</v>
      </c>
      <c r="C236" t="s">
        <v>334</v>
      </c>
    </row>
    <row r="237" spans="1:3" x14ac:dyDescent="0.25">
      <c r="A237">
        <v>2658</v>
      </c>
      <c r="B237">
        <v>3418</v>
      </c>
      <c r="C237" t="s">
        <v>155</v>
      </c>
    </row>
    <row r="238" spans="1:3" x14ac:dyDescent="0.25">
      <c r="A238">
        <v>1142</v>
      </c>
      <c r="B238">
        <v>2729</v>
      </c>
      <c r="C238" t="s">
        <v>75</v>
      </c>
    </row>
    <row r="239" spans="1:3" x14ac:dyDescent="0.25">
      <c r="A239">
        <v>3959</v>
      </c>
      <c r="B239">
        <v>7075</v>
      </c>
      <c r="C239" t="s">
        <v>218</v>
      </c>
    </row>
    <row r="240" spans="1:3" x14ac:dyDescent="0.25">
      <c r="A240">
        <v>3961</v>
      </c>
      <c r="B240">
        <v>7074</v>
      </c>
      <c r="C240" t="s">
        <v>406</v>
      </c>
    </row>
    <row r="241" spans="1:3" x14ac:dyDescent="0.25">
      <c r="A241">
        <v>2779</v>
      </c>
      <c r="B241">
        <v>6311</v>
      </c>
      <c r="C241" t="s">
        <v>427</v>
      </c>
    </row>
    <row r="242" spans="1:3" x14ac:dyDescent="0.25">
      <c r="A242">
        <v>2232</v>
      </c>
      <c r="B242">
        <v>6063</v>
      </c>
      <c r="C242" t="s">
        <v>107</v>
      </c>
    </row>
    <row r="243" spans="1:3" x14ac:dyDescent="0.25">
      <c r="A243">
        <v>1855</v>
      </c>
      <c r="B243">
        <v>3075</v>
      </c>
      <c r="C243" t="s">
        <v>94</v>
      </c>
    </row>
    <row r="244" spans="1:3" x14ac:dyDescent="0.25">
      <c r="A244">
        <v>3169</v>
      </c>
      <c r="B244">
        <v>8514</v>
      </c>
      <c r="C244" t="s">
        <v>341</v>
      </c>
    </row>
    <row r="245" spans="1:3" x14ac:dyDescent="0.25">
      <c r="A245">
        <v>4801</v>
      </c>
      <c r="B245">
        <v>7829</v>
      </c>
      <c r="C245" t="s">
        <v>247</v>
      </c>
    </row>
    <row r="246" spans="1:3" x14ac:dyDescent="0.25">
      <c r="A246">
        <v>5237</v>
      </c>
      <c r="B246">
        <v>8756</v>
      </c>
      <c r="C246" t="s">
        <v>265</v>
      </c>
    </row>
    <row r="247" spans="1:3" x14ac:dyDescent="0.25">
      <c r="A247">
        <v>118</v>
      </c>
      <c r="B247">
        <v>5060</v>
      </c>
      <c r="C247" t="s">
        <v>487</v>
      </c>
    </row>
    <row r="248" spans="1:3" x14ac:dyDescent="0.25">
      <c r="A248">
        <v>2572</v>
      </c>
      <c r="B248">
        <v>3173</v>
      </c>
      <c r="C248" t="s">
        <v>130</v>
      </c>
    </row>
    <row r="249" spans="1:3" x14ac:dyDescent="0.25">
      <c r="A249">
        <v>4209</v>
      </c>
      <c r="B249">
        <v>7511</v>
      </c>
      <c r="C249" t="s">
        <v>419</v>
      </c>
    </row>
    <row r="250" spans="1:3" x14ac:dyDescent="0.25">
      <c r="A250">
        <v>2976</v>
      </c>
      <c r="B250">
        <v>6345</v>
      </c>
      <c r="C250" t="s">
        <v>440</v>
      </c>
    </row>
    <row r="251" spans="1:3" x14ac:dyDescent="0.25">
      <c r="A251">
        <v>1294</v>
      </c>
      <c r="B251">
        <v>2929</v>
      </c>
      <c r="C251" t="s">
        <v>79</v>
      </c>
    </row>
    <row r="252" spans="1:3" x14ac:dyDescent="0.25">
      <c r="A252">
        <v>5151</v>
      </c>
      <c r="B252">
        <v>8667</v>
      </c>
      <c r="C252" t="s">
        <v>263</v>
      </c>
    </row>
    <row r="253" spans="1:3" x14ac:dyDescent="0.25">
      <c r="A253">
        <v>255</v>
      </c>
      <c r="B253">
        <v>5055</v>
      </c>
      <c r="C253" t="s">
        <v>23</v>
      </c>
    </row>
    <row r="254" spans="1:3" x14ac:dyDescent="0.25">
      <c r="A254">
        <v>1392</v>
      </c>
      <c r="B254">
        <v>5644</v>
      </c>
      <c r="C254" t="s">
        <v>458</v>
      </c>
    </row>
    <row r="255" spans="1:3" x14ac:dyDescent="0.25">
      <c r="A255">
        <v>5967</v>
      </c>
      <c r="B255">
        <v>4213</v>
      </c>
      <c r="C255" t="s">
        <v>339</v>
      </c>
    </row>
    <row r="256" spans="1:3" x14ac:dyDescent="0.25">
      <c r="A256">
        <v>167</v>
      </c>
      <c r="B256">
        <v>5146</v>
      </c>
      <c r="C256" t="s">
        <v>13</v>
      </c>
    </row>
    <row r="257" spans="1:3" x14ac:dyDescent="0.25">
      <c r="A257">
        <v>3574</v>
      </c>
      <c r="B257">
        <v>6477</v>
      </c>
      <c r="C257" t="s">
        <v>212</v>
      </c>
    </row>
    <row r="258" spans="1:3" x14ac:dyDescent="0.25">
      <c r="A258">
        <v>3484</v>
      </c>
      <c r="B258">
        <v>6508</v>
      </c>
      <c r="C258" t="s">
        <v>472</v>
      </c>
    </row>
    <row r="259" spans="1:3" x14ac:dyDescent="0.25">
      <c r="A259">
        <v>5440</v>
      </c>
      <c r="B259">
        <v>9051</v>
      </c>
      <c r="C259" t="s">
        <v>599</v>
      </c>
    </row>
    <row r="260" spans="1:3" x14ac:dyDescent="0.25">
      <c r="A260">
        <v>5569</v>
      </c>
      <c r="B260">
        <v>9051</v>
      </c>
      <c r="C260" t="s">
        <v>599</v>
      </c>
    </row>
    <row r="261" spans="1:3" x14ac:dyDescent="0.25">
      <c r="A261">
        <v>5573</v>
      </c>
      <c r="B261">
        <v>9051</v>
      </c>
      <c r="C261" t="s">
        <v>599</v>
      </c>
    </row>
    <row r="262" spans="1:3" x14ac:dyDescent="0.25">
      <c r="A262">
        <v>5575</v>
      </c>
      <c r="B262">
        <v>9051</v>
      </c>
      <c r="C262" t="s">
        <v>599</v>
      </c>
    </row>
    <row r="263" spans="1:3" x14ac:dyDescent="0.25">
      <c r="A263">
        <v>5895</v>
      </c>
      <c r="B263">
        <v>9460</v>
      </c>
      <c r="C263" t="s">
        <v>301</v>
      </c>
    </row>
    <row r="264" spans="1:3" x14ac:dyDescent="0.25">
      <c r="A264">
        <v>5896</v>
      </c>
      <c r="B264">
        <v>9460</v>
      </c>
      <c r="C264" t="s">
        <v>303</v>
      </c>
    </row>
    <row r="265" spans="1:3" x14ac:dyDescent="0.25">
      <c r="A265">
        <v>3386</v>
      </c>
      <c r="B265">
        <v>3688</v>
      </c>
      <c r="C265" t="s">
        <v>551</v>
      </c>
    </row>
    <row r="266" spans="1:3" x14ac:dyDescent="0.25">
      <c r="A266">
        <v>4053</v>
      </c>
      <c r="B266">
        <v>7258</v>
      </c>
      <c r="C266" t="s">
        <v>324</v>
      </c>
    </row>
    <row r="267" spans="1:3" x14ac:dyDescent="0.25">
      <c r="A267">
        <v>5909</v>
      </c>
      <c r="B267">
        <v>9473</v>
      </c>
      <c r="C267" t="s">
        <v>308</v>
      </c>
    </row>
    <row r="268" spans="1:3" x14ac:dyDescent="0.25">
      <c r="A268">
        <v>5912</v>
      </c>
      <c r="B268">
        <v>9474</v>
      </c>
      <c r="C268" t="s">
        <v>311</v>
      </c>
    </row>
    <row r="269" spans="1:3" x14ac:dyDescent="0.25">
      <c r="A269">
        <v>5910</v>
      </c>
      <c r="B269">
        <v>9472</v>
      </c>
      <c r="C269" t="s">
        <v>310</v>
      </c>
    </row>
    <row r="270" spans="1:3" x14ac:dyDescent="0.25">
      <c r="A270">
        <v>2610</v>
      </c>
      <c r="B270">
        <v>3214</v>
      </c>
      <c r="C270" t="s">
        <v>142</v>
      </c>
    </row>
    <row r="271" spans="1:3" x14ac:dyDescent="0.25">
      <c r="A271">
        <v>4174</v>
      </c>
      <c r="B271">
        <v>7054</v>
      </c>
      <c r="C271" t="s">
        <v>415</v>
      </c>
    </row>
    <row r="272" spans="1:3" x14ac:dyDescent="0.25">
      <c r="A272">
        <v>3418</v>
      </c>
      <c r="B272">
        <v>3704</v>
      </c>
      <c r="C272" t="s">
        <v>200</v>
      </c>
    </row>
    <row r="273" spans="1:3" x14ac:dyDescent="0.25">
      <c r="A273">
        <v>5944</v>
      </c>
      <c r="B273">
        <v>4199</v>
      </c>
      <c r="C273" t="s">
        <v>520</v>
      </c>
    </row>
    <row r="274" spans="1:3" x14ac:dyDescent="0.25">
      <c r="A274">
        <v>5373</v>
      </c>
      <c r="B274">
        <v>8840</v>
      </c>
      <c r="C274" t="s">
        <v>603</v>
      </c>
    </row>
    <row r="275" spans="1:3" x14ac:dyDescent="0.25">
      <c r="A275">
        <v>444</v>
      </c>
      <c r="B275">
        <v>8084</v>
      </c>
      <c r="C275" t="s">
        <v>329</v>
      </c>
    </row>
    <row r="276" spans="1:3" x14ac:dyDescent="0.25">
      <c r="A276">
        <v>243</v>
      </c>
      <c r="B276">
        <v>5041</v>
      </c>
      <c r="C276" t="s">
        <v>19</v>
      </c>
    </row>
    <row r="277" spans="1:3" x14ac:dyDescent="0.25">
      <c r="A277">
        <v>5226</v>
      </c>
      <c r="B277">
        <v>8743</v>
      </c>
      <c r="C277" t="s">
        <v>586</v>
      </c>
    </row>
    <row r="278" spans="1:3" x14ac:dyDescent="0.25">
      <c r="A278">
        <v>3175</v>
      </c>
      <c r="B278">
        <v>8520</v>
      </c>
      <c r="C278" t="s">
        <v>182</v>
      </c>
    </row>
    <row r="279" spans="1:3" x14ac:dyDescent="0.25">
      <c r="A279">
        <v>4966</v>
      </c>
      <c r="B279">
        <v>4301</v>
      </c>
      <c r="C279" t="s">
        <v>253</v>
      </c>
    </row>
    <row r="280" spans="1:3" x14ac:dyDescent="0.25">
      <c r="A280">
        <v>5872</v>
      </c>
      <c r="B280">
        <v>4434</v>
      </c>
      <c r="C280" t="s">
        <v>253</v>
      </c>
    </row>
    <row r="281" spans="1:3" x14ac:dyDescent="0.25">
      <c r="A281">
        <v>2502</v>
      </c>
      <c r="B281">
        <v>3594</v>
      </c>
      <c r="C281" t="s">
        <v>499</v>
      </c>
    </row>
    <row r="282" spans="1:3" x14ac:dyDescent="0.25">
      <c r="A282">
        <v>5946</v>
      </c>
      <c r="B282">
        <v>4058</v>
      </c>
      <c r="C282" t="s">
        <v>522</v>
      </c>
    </row>
    <row r="283" spans="1:3" x14ac:dyDescent="0.25">
      <c r="A283">
        <v>251</v>
      </c>
      <c r="B283">
        <v>5057</v>
      </c>
      <c r="C283" t="s">
        <v>21</v>
      </c>
    </row>
    <row r="284" spans="1:3" x14ac:dyDescent="0.25">
      <c r="A284">
        <v>190</v>
      </c>
      <c r="B284">
        <v>5182</v>
      </c>
      <c r="C284" t="s">
        <v>15</v>
      </c>
    </row>
    <row r="285" spans="1:3" x14ac:dyDescent="0.25">
      <c r="A285">
        <v>3037</v>
      </c>
      <c r="B285">
        <v>6223</v>
      </c>
      <c r="C285" t="s">
        <v>432</v>
      </c>
    </row>
    <row r="286" spans="1:3" x14ac:dyDescent="0.25">
      <c r="A286">
        <v>5863</v>
      </c>
      <c r="B286">
        <v>4562</v>
      </c>
      <c r="C286" t="s">
        <v>524</v>
      </c>
    </row>
    <row r="287" spans="1:3" x14ac:dyDescent="0.25">
      <c r="A287">
        <v>2611</v>
      </c>
      <c r="B287">
        <v>3216</v>
      </c>
      <c r="C287" t="s">
        <v>144</v>
      </c>
    </row>
    <row r="288" spans="1:3" x14ac:dyDescent="0.25">
      <c r="A288">
        <v>1418</v>
      </c>
      <c r="B288">
        <v>5740</v>
      </c>
      <c r="C288" t="s">
        <v>442</v>
      </c>
    </row>
    <row r="289" spans="1:3" x14ac:dyDescent="0.25">
      <c r="A289">
        <v>6060</v>
      </c>
      <c r="B289" t="s">
        <v>387</v>
      </c>
      <c r="C289" t="s">
        <v>451</v>
      </c>
    </row>
    <row r="290" spans="1:3" x14ac:dyDescent="0.25">
      <c r="A290">
        <v>923</v>
      </c>
      <c r="B290">
        <v>8181</v>
      </c>
      <c r="C290" t="s">
        <v>53</v>
      </c>
    </row>
    <row r="291" spans="1:3" x14ac:dyDescent="0.25">
      <c r="A291">
        <v>2612</v>
      </c>
      <c r="B291">
        <v>3208</v>
      </c>
      <c r="C291" t="s">
        <v>146</v>
      </c>
    </row>
    <row r="292" spans="1:3" x14ac:dyDescent="0.25">
      <c r="A292">
        <v>5922</v>
      </c>
      <c r="B292">
        <v>9492</v>
      </c>
      <c r="C292" t="s">
        <v>314</v>
      </c>
    </row>
    <row r="293" spans="1:3" x14ac:dyDescent="0.25">
      <c r="A293">
        <v>665</v>
      </c>
      <c r="B293">
        <v>5286</v>
      </c>
      <c r="C293" t="s">
        <v>4343</v>
      </c>
    </row>
    <row r="294" spans="1:3" x14ac:dyDescent="0.25">
      <c r="A294">
        <v>3564</v>
      </c>
      <c r="B294">
        <v>6470</v>
      </c>
      <c r="C294" t="s">
        <v>4345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137"/>
  <sheetViews>
    <sheetView showGridLines="0" zoomScale="85" zoomScaleNormal="85" workbookViewId="0">
      <pane ySplit="1" topLeftCell="A2" activePane="bottomLeft" state="frozen"/>
      <selection pane="bottomLeft" activeCell="D1" sqref="D1:H1"/>
    </sheetView>
  </sheetViews>
  <sheetFormatPr defaultColWidth="0" defaultRowHeight="15" zeroHeight="1" outlineLevelRow="1" x14ac:dyDescent="0.25"/>
  <cols>
    <col min="1" max="1" width="2.42578125" style="47" customWidth="1"/>
    <col min="2" max="2" width="2.42578125" customWidth="1"/>
    <col min="3" max="5" width="26" customWidth="1"/>
    <col min="6" max="6" width="10.85546875" customWidth="1"/>
    <col min="7" max="7" width="26" customWidth="1"/>
    <col min="8" max="8" width="26" style="47" customWidth="1"/>
    <col min="9" max="9" width="26" customWidth="1"/>
    <col min="10" max="11" width="2.42578125" style="47" customWidth="1"/>
    <col min="12" max="12" width="9.140625" style="47" hidden="1" customWidth="1"/>
    <col min="13" max="13" width="17.5703125" style="47" hidden="1" customWidth="1"/>
    <col min="14" max="14" width="9.140625" style="47" hidden="1" customWidth="1"/>
    <col min="15" max="15" width="15" style="47" hidden="1" customWidth="1"/>
    <col min="16" max="16" width="9.140625" style="47" hidden="1" customWidth="1"/>
    <col min="17" max="17" width="1" style="47" hidden="1" customWidth="1"/>
    <col min="18" max="20" width="9.140625" style="47" hidden="1" customWidth="1"/>
    <col min="21" max="21" width="24.28515625" style="47" hidden="1" customWidth="1"/>
    <col min="22" max="24" width="10.85546875" style="47" hidden="1" customWidth="1"/>
    <col min="25" max="16384" width="9.140625" style="47" hidden="1"/>
  </cols>
  <sheetData>
    <row r="1" spans="3:10" ht="26.25" x14ac:dyDescent="0.4">
      <c r="C1" t="s">
        <v>376</v>
      </c>
      <c r="D1" s="262" t="s">
        <v>249</v>
      </c>
      <c r="E1" s="262"/>
      <c r="F1" s="262"/>
      <c r="G1" s="262"/>
      <c r="H1" s="262"/>
      <c r="I1" s="132"/>
      <c r="J1" s="46"/>
    </row>
    <row r="2" spans="3:10" ht="6.75" customHeight="1" x14ac:dyDescent="0.25"/>
    <row r="3" spans="3:10" ht="28.5" customHeight="1" x14ac:dyDescent="0.25"/>
    <row r="4" spans="3:10" ht="15.75" outlineLevel="1" x14ac:dyDescent="0.25">
      <c r="C4" s="266" t="s">
        <v>4408</v>
      </c>
      <c r="D4" s="266"/>
      <c r="E4" s="266"/>
      <c r="F4" s="267"/>
      <c r="G4" s="266"/>
      <c r="H4" s="266"/>
      <c r="I4" s="266"/>
      <c r="J4" s="48"/>
    </row>
    <row r="5" spans="3:10" ht="33.75" customHeight="1" x14ac:dyDescent="0.25">
      <c r="C5" s="250" t="s">
        <v>4</v>
      </c>
      <c r="D5" s="268" t="str">
        <f>VLOOKUP($D$1,MasterList[], 2,FALSE)</f>
        <v>North</v>
      </c>
      <c r="E5" s="269"/>
      <c r="F5" s="172"/>
      <c r="G5" s="171" t="s">
        <v>368</v>
      </c>
      <c r="H5" s="276" t="str">
        <f>VLOOKUP($D$1,MasterList[], 5,FALSE)</f>
        <v>Data not available</v>
      </c>
      <c r="I5" s="277"/>
    </row>
    <row r="6" spans="3:10" ht="33.75" customHeight="1" x14ac:dyDescent="0.25">
      <c r="C6" s="251"/>
      <c r="D6" s="270"/>
      <c r="E6" s="271"/>
      <c r="F6" s="173"/>
      <c r="G6" s="171" t="s">
        <v>377</v>
      </c>
      <c r="H6" s="276" t="str">
        <f>VLOOKUP($D$1,MasterList[], 6,FALSE)</f>
        <v>Using billed data (full)</v>
      </c>
      <c r="I6" s="277"/>
    </row>
    <row r="7" spans="3:10" ht="33.75" customHeight="1" x14ac:dyDescent="0.25">
      <c r="C7" s="250" t="s">
        <v>5</v>
      </c>
      <c r="D7" s="268" t="str">
        <f>VLOOKUP($D$1,MasterList[], 3,FALSE)</f>
        <v>Yorkshire</v>
      </c>
      <c r="E7" s="269"/>
      <c r="F7" s="173"/>
      <c r="G7" s="205" t="s">
        <v>624</v>
      </c>
      <c r="H7" s="276" t="str">
        <f>VLOOKUP($D$1,MasterList[], 7,FALSE)</f>
        <v>From billed data</v>
      </c>
      <c r="I7" s="277"/>
    </row>
    <row r="8" spans="3:10" ht="33.75" customHeight="1" x14ac:dyDescent="0.25">
      <c r="C8" s="251"/>
      <c r="D8" s="270"/>
      <c r="E8" s="271"/>
      <c r="F8" s="204"/>
      <c r="G8" s="278"/>
      <c r="H8" s="279"/>
      <c r="I8" s="279"/>
    </row>
    <row r="9" spans="3:10" ht="6.75" customHeight="1" x14ac:dyDescent="0.25"/>
    <row r="10" spans="3:10" ht="33.75" customHeight="1" outlineLevel="1" x14ac:dyDescent="0.35">
      <c r="C10" s="254" t="s">
        <v>4412</v>
      </c>
      <c r="D10" s="254"/>
      <c r="E10" s="254"/>
      <c r="F10" s="254"/>
      <c r="G10" s="254"/>
      <c r="H10" s="254"/>
      <c r="I10" s="254"/>
    </row>
    <row r="11" spans="3:10" ht="33.75" customHeight="1" outlineLevel="1" x14ac:dyDescent="0.25">
      <c r="C11" s="253" t="s">
        <v>4550</v>
      </c>
      <c r="D11" s="253"/>
      <c r="E11" s="253"/>
      <c r="F11" s="253"/>
      <c r="G11" s="253"/>
      <c r="H11" s="253"/>
      <c r="I11" s="253"/>
    </row>
    <row r="12" spans="3:10" ht="18.75" customHeight="1" outlineLevel="1" x14ac:dyDescent="0.25">
      <c r="C12" s="253"/>
      <c r="D12" s="253"/>
      <c r="E12" s="253"/>
      <c r="F12" s="253"/>
      <c r="G12" s="253"/>
      <c r="H12" s="253"/>
      <c r="I12" s="253"/>
    </row>
    <row r="13" spans="3:10" ht="9.9499999999999993" customHeight="1" outlineLevel="1" x14ac:dyDescent="0.25"/>
    <row r="14" spans="3:10" ht="15.75" outlineLevel="1" x14ac:dyDescent="0.25">
      <c r="C14" s="257" t="s">
        <v>4481</v>
      </c>
      <c r="D14" s="257"/>
      <c r="E14" s="258"/>
      <c r="F14" s="48"/>
      <c r="G14" s="259" t="s">
        <v>4482</v>
      </c>
      <c r="H14" s="259"/>
      <c r="I14" s="258"/>
      <c r="J14" s="48"/>
    </row>
    <row r="15" spans="3:10" outlineLevel="1" x14ac:dyDescent="0.25">
      <c r="C15" s="208"/>
      <c r="D15" s="209"/>
      <c r="E15" s="207" t="s">
        <v>4417</v>
      </c>
      <c r="F15" s="49"/>
      <c r="G15" s="208"/>
      <c r="H15" s="209"/>
      <c r="I15" s="169" t="s">
        <v>4417</v>
      </c>
      <c r="J15" s="49"/>
    </row>
    <row r="16" spans="3:10" ht="15" customHeight="1" outlineLevel="1" x14ac:dyDescent="0.25">
      <c r="C16" s="274" t="s">
        <v>4552</v>
      </c>
      <c r="D16" s="275"/>
      <c r="E16" s="224" t="str">
        <f>VLOOKUP($D$1,MasterList[], 8,FALSE)</f>
        <v>-</v>
      </c>
      <c r="F16" s="199"/>
      <c r="G16" s="260" t="s">
        <v>368</v>
      </c>
      <c r="H16" s="261"/>
      <c r="I16" s="223" t="str">
        <f>VLOOKUP($D$1,MasterList[], 9,FALSE)</f>
        <v>-</v>
      </c>
      <c r="J16" s="51"/>
    </row>
    <row r="17" spans="3:13" outlineLevel="1" x14ac:dyDescent="0.25">
      <c r="C17" s="260" t="s">
        <v>4553</v>
      </c>
      <c r="D17" s="261"/>
      <c r="E17" s="224">
        <f>VLOOKUP($D$1,MasterList[], 10,FALSE)</f>
        <v>171924</v>
      </c>
      <c r="F17" s="199"/>
      <c r="G17" s="260" t="s">
        <v>377</v>
      </c>
      <c r="H17" s="261"/>
      <c r="I17" s="223">
        <f>VLOOKUP($D$1,MasterList[], 11,FALSE)</f>
        <v>4478.7999999999993</v>
      </c>
      <c r="J17" s="51"/>
    </row>
    <row r="18" spans="3:13" ht="15" customHeight="1" outlineLevel="1" x14ac:dyDescent="0.25">
      <c r="C18" s="169" t="s">
        <v>4341</v>
      </c>
      <c r="D18" s="169" t="s">
        <v>4342</v>
      </c>
      <c r="E18" s="169" t="s">
        <v>4417</v>
      </c>
      <c r="F18" s="199"/>
      <c r="G18" s="169" t="s">
        <v>4341</v>
      </c>
      <c r="H18" s="169" t="s">
        <v>4342</v>
      </c>
      <c r="I18" s="169" t="s">
        <v>4417</v>
      </c>
      <c r="J18" s="51"/>
      <c r="M18" s="78"/>
    </row>
    <row r="19" spans="3:13" outlineLevel="1" x14ac:dyDescent="0.25">
      <c r="C19" s="255" t="s">
        <v>4554</v>
      </c>
      <c r="D19" s="256"/>
      <c r="E19" s="256"/>
      <c r="F19" s="200"/>
      <c r="G19" s="255" t="s">
        <v>624</v>
      </c>
      <c r="H19" s="256"/>
      <c r="I19" s="256"/>
      <c r="J19" s="51"/>
    </row>
    <row r="20" spans="3:13" outlineLevel="1" x14ac:dyDescent="0.25">
      <c r="C20" s="224">
        <f>VLOOKUP($D$1,MasterList[], 12,FALSE)</f>
        <v>526</v>
      </c>
      <c r="D20" s="224">
        <f>VLOOKUP($D$1,MasterList[], 13,FALSE)</f>
        <v>802</v>
      </c>
      <c r="E20" s="224">
        <f>VLOOKUP($D$1,MasterList[], 14,FALSE)</f>
        <v>584</v>
      </c>
      <c r="F20" s="199"/>
      <c r="G20" s="223">
        <f>VLOOKUP($D$1,MasterList[], 15,FALSE)</f>
        <v>1983.68</v>
      </c>
      <c r="H20" s="223">
        <f>VLOOKUP($D$1,MasterList[], 16,FALSE)</f>
        <v>2801.28</v>
      </c>
      <c r="I20" s="223">
        <f>VLOOKUP($D$1,MasterList[], 17,FALSE)</f>
        <v>2008.2</v>
      </c>
      <c r="J20" s="51"/>
    </row>
    <row r="21" spans="3:13" outlineLevel="1" x14ac:dyDescent="0.25"/>
    <row r="22" spans="3:13" outlineLevel="1" x14ac:dyDescent="0.25">
      <c r="C22" s="75" t="s">
        <v>4483</v>
      </c>
      <c r="D22" s="168" t="s">
        <v>4484</v>
      </c>
      <c r="E22" s="201">
        <v>0.12384067417423052</v>
      </c>
      <c r="F22" s="203" t="s">
        <v>4498</v>
      </c>
      <c r="G22" s="201"/>
      <c r="H22" s="202"/>
      <c r="I22" s="75"/>
    </row>
    <row r="23" spans="3:13" outlineLevel="1" x14ac:dyDescent="0.25">
      <c r="C23" s="75"/>
      <c r="D23" s="168" t="s">
        <v>4499</v>
      </c>
      <c r="E23" s="201">
        <v>3.2436152890969863E-2</v>
      </c>
      <c r="F23" s="203" t="s">
        <v>4498</v>
      </c>
      <c r="G23" s="201"/>
      <c r="H23" s="202"/>
      <c r="I23" s="75"/>
    </row>
    <row r="24" spans="3:13" outlineLevel="1" x14ac:dyDescent="0.25">
      <c r="C24" s="75"/>
      <c r="D24" s="168" t="s">
        <v>4500</v>
      </c>
      <c r="E24" s="201">
        <v>3.78</v>
      </c>
      <c r="F24" s="203" t="s">
        <v>4498</v>
      </c>
      <c r="G24" s="201"/>
      <c r="H24" s="202"/>
      <c r="I24" s="75"/>
    </row>
    <row r="25" spans="3:13" ht="6.75" customHeight="1" outlineLevel="1" x14ac:dyDescent="0.25"/>
    <row r="26" spans="3:13" ht="33.75" customHeight="1" outlineLevel="1" x14ac:dyDescent="0.35">
      <c r="C26" s="254" t="s">
        <v>4485</v>
      </c>
      <c r="D26" s="254"/>
      <c r="E26" s="254"/>
      <c r="F26" s="254"/>
      <c r="G26" s="254"/>
      <c r="H26" s="254"/>
      <c r="I26" s="254"/>
    </row>
    <row r="27" spans="3:13" ht="9.9499999999999993" customHeight="1" outlineLevel="1" x14ac:dyDescent="0.25"/>
    <row r="28" spans="3:13" ht="15.75" outlineLevel="1" x14ac:dyDescent="0.25">
      <c r="C28" s="259" t="s">
        <v>4551</v>
      </c>
      <c r="D28" s="259"/>
      <c r="E28" s="258"/>
      <c r="F28" s="48"/>
      <c r="G28" s="259" t="s">
        <v>4482</v>
      </c>
      <c r="H28" s="259"/>
      <c r="I28" s="258"/>
      <c r="J28" s="48"/>
    </row>
    <row r="29" spans="3:13" outlineLevel="1" x14ac:dyDescent="0.25">
      <c r="C29" s="169" t="s">
        <v>4341</v>
      </c>
      <c r="D29" s="169" t="s">
        <v>4342</v>
      </c>
      <c r="E29" s="169" t="s">
        <v>4417</v>
      </c>
      <c r="F29" s="49"/>
      <c r="G29" s="169" t="s">
        <v>4341</v>
      </c>
      <c r="H29" s="169" t="s">
        <v>4342</v>
      </c>
      <c r="I29" s="169" t="s">
        <v>4417</v>
      </c>
    </row>
    <row r="30" spans="3:13" outlineLevel="1" x14ac:dyDescent="0.25">
      <c r="C30" s="255" t="s">
        <v>4486</v>
      </c>
      <c r="D30" s="256"/>
      <c r="E30" s="256"/>
      <c r="F30" s="110"/>
      <c r="G30" s="255" t="s">
        <v>4486</v>
      </c>
      <c r="H30" s="256"/>
      <c r="I30" s="256"/>
    </row>
    <row r="31" spans="3:13" outlineLevel="1" x14ac:dyDescent="0.25">
      <c r="C31" s="225" t="str">
        <f>VLOOKUP($D$1,MasterList[], 18,FALSE)</f>
        <v>-</v>
      </c>
      <c r="D31" s="225" t="str">
        <f>VLOOKUP($D$1,MasterList[], 19,FALSE)</f>
        <v>-</v>
      </c>
      <c r="E31" s="225" t="str">
        <f>VLOOKUP($D$1,MasterList[], 20,FALSE)</f>
        <v>-</v>
      </c>
      <c r="F31" s="170"/>
      <c r="G31" s="223" t="str">
        <f>VLOOKUP($D$1,MasterList[], 33,FALSE)</f>
        <v>-</v>
      </c>
      <c r="H31" s="223" t="str">
        <f>VLOOKUP($D$1,MasterList[], 34,FALSE)</f>
        <v>-</v>
      </c>
      <c r="I31" s="223" t="str">
        <f>VLOOKUP($D$1,MasterList[], 35,FALSE)</f>
        <v>-</v>
      </c>
    </row>
    <row r="32" spans="3:13" outlineLevel="1" x14ac:dyDescent="0.25">
      <c r="C32" s="255" t="s">
        <v>4487</v>
      </c>
      <c r="D32" s="256"/>
      <c r="E32" s="256"/>
      <c r="F32" s="110"/>
      <c r="G32" s="255" t="s">
        <v>4487</v>
      </c>
      <c r="H32" s="256"/>
      <c r="I32" s="256"/>
    </row>
    <row r="33" spans="2:10" outlineLevel="1" x14ac:dyDescent="0.25">
      <c r="C33" s="225" t="str">
        <f>VLOOKUP($D$1,MasterList[], 21,FALSE)</f>
        <v>-</v>
      </c>
      <c r="D33" s="225">
        <f>VLOOKUP($D$1,MasterList[], 22,FALSE)</f>
        <v>0.38399999999999995</v>
      </c>
      <c r="E33" s="225" t="str">
        <f>VLOOKUP($D$1,MasterList[], 23,FALSE)</f>
        <v>-</v>
      </c>
      <c r="F33" s="170"/>
      <c r="G33" s="223" t="str">
        <f>VLOOKUP($D$1,MasterList[], 36,FALSE)</f>
        <v>-</v>
      </c>
      <c r="H33" s="223">
        <f>VLOOKUP($D$1,MasterList[], 37,FALSE)</f>
        <v>69.818181818181813</v>
      </c>
      <c r="I33" s="223" t="str">
        <f>VLOOKUP($D$1,MasterList[], 38,FALSE)</f>
        <v>-</v>
      </c>
    </row>
    <row r="34" spans="2:10" outlineLevel="1" x14ac:dyDescent="0.25">
      <c r="C34" s="255" t="s">
        <v>4496</v>
      </c>
      <c r="D34" s="256"/>
      <c r="E34" s="256"/>
      <c r="F34" s="110"/>
      <c r="G34" s="255" t="s">
        <v>4496</v>
      </c>
      <c r="H34" s="256"/>
      <c r="I34" s="256"/>
    </row>
    <row r="35" spans="2:10" outlineLevel="1" x14ac:dyDescent="0.25">
      <c r="C35" s="225" t="str">
        <f>VLOOKUP($D$1,MasterList[], 24,FALSE)</f>
        <v>-</v>
      </c>
      <c r="D35" s="225" t="str">
        <f>VLOOKUP($D$1,MasterList[], 25,FALSE)</f>
        <v>-</v>
      </c>
      <c r="E35" s="225" t="str">
        <f>VLOOKUP($D$1,MasterList[], 26,FALSE)</f>
        <v>-</v>
      </c>
      <c r="F35" s="170"/>
      <c r="G35" s="223" t="str">
        <f>VLOOKUP($D$1,MasterList[], 39,FALSE)</f>
        <v>-</v>
      </c>
      <c r="H35" s="223" t="str">
        <f>VLOOKUP($D$1,MasterList[], 40,FALSE)</f>
        <v>-</v>
      </c>
      <c r="I35" s="223" t="str">
        <f>VLOOKUP($D$1,MasterList[], 41,FALSE)</f>
        <v>-</v>
      </c>
    </row>
    <row r="36" spans="2:10" outlineLevel="1" x14ac:dyDescent="0.25">
      <c r="C36" s="255" t="s">
        <v>818</v>
      </c>
      <c r="D36" s="256"/>
      <c r="E36" s="256"/>
      <c r="F36" s="170"/>
      <c r="G36" s="255" t="s">
        <v>818</v>
      </c>
      <c r="H36" s="256"/>
      <c r="I36" s="256"/>
    </row>
    <row r="37" spans="2:10" outlineLevel="1" x14ac:dyDescent="0.25">
      <c r="C37" s="225" t="str">
        <f>VLOOKUP($D$1,MasterList[], 27,FALSE)</f>
        <v>-</v>
      </c>
      <c r="D37" s="225" t="str">
        <f>VLOOKUP($D$1,MasterList[], 28,FALSE)</f>
        <v>-</v>
      </c>
      <c r="E37" s="225" t="str">
        <f>VLOOKUP($D$1,MasterList[], 29,FALSE)</f>
        <v>-</v>
      </c>
      <c r="F37" s="170"/>
      <c r="G37" s="223" t="str">
        <f>VLOOKUP($D$1,MasterList[], 42,FALSE)</f>
        <v>-</v>
      </c>
      <c r="H37" s="223" t="str">
        <f>VLOOKUP($D$1,MasterList[], 43,FALSE)</f>
        <v>-</v>
      </c>
      <c r="I37" s="223" t="str">
        <f>VLOOKUP($D$1,MasterList[], 44,FALSE)</f>
        <v>-</v>
      </c>
    </row>
    <row r="38" spans="2:10" outlineLevel="1" x14ac:dyDescent="0.25">
      <c r="C38" s="255" t="s">
        <v>4488</v>
      </c>
      <c r="D38" s="256"/>
      <c r="E38" s="256"/>
      <c r="G38" s="255" t="s">
        <v>4488</v>
      </c>
      <c r="H38" s="256"/>
      <c r="I38" s="256"/>
    </row>
    <row r="39" spans="2:10" x14ac:dyDescent="0.25">
      <c r="C39" s="225" t="str">
        <f>VLOOKUP($D$1,MasterList[], 30,FALSE)</f>
        <v>-</v>
      </c>
      <c r="D39" s="225" t="str">
        <f>VLOOKUP($D$1,MasterList[], 31,FALSE)</f>
        <v>-</v>
      </c>
      <c r="E39" s="225" t="str">
        <f>VLOOKUP($D$1,MasterList[], 32,FALSE)</f>
        <v>-</v>
      </c>
      <c r="G39" s="223" t="str">
        <f>VLOOKUP($D$1,MasterList[], 45,FALSE)</f>
        <v>-</v>
      </c>
      <c r="H39" s="223" t="str">
        <f>VLOOKUP($D$1,MasterList[], 46,FALSE)</f>
        <v>-</v>
      </c>
      <c r="I39" s="223" t="str">
        <f>VLOOKUP($D$1,MasterList[], 47,FALSE)</f>
        <v>-</v>
      </c>
    </row>
    <row r="40" spans="2:10" ht="6.75" customHeight="1" x14ac:dyDescent="0.25">
      <c r="C40" s="166"/>
      <c r="D40" s="166"/>
      <c r="E40" s="166"/>
      <c r="G40" s="166"/>
      <c r="H40" s="166"/>
      <c r="I40" s="166"/>
    </row>
    <row r="41" spans="2:10" ht="15.75" thickBot="1" x14ac:dyDescent="0.3">
      <c r="C41" s="75"/>
      <c r="D41" s="76"/>
      <c r="F41" s="75"/>
      <c r="G41" s="76"/>
      <c r="H41" s="54"/>
      <c r="I41" s="75"/>
      <c r="J41" s="54"/>
    </row>
    <row r="42" spans="2:10" ht="33.75" customHeight="1" x14ac:dyDescent="0.25">
      <c r="B42" s="263" t="s">
        <v>817</v>
      </c>
      <c r="C42" s="264"/>
      <c r="D42" s="264"/>
      <c r="E42" s="264"/>
      <c r="F42" s="264"/>
      <c r="G42" s="264"/>
      <c r="H42" s="264"/>
      <c r="I42" s="264"/>
      <c r="J42" s="265"/>
    </row>
    <row r="43" spans="2:10" x14ac:dyDescent="0.25">
      <c r="B43" s="193"/>
      <c r="C43" s="50"/>
      <c r="D43" s="50"/>
      <c r="E43" s="50"/>
      <c r="F43" s="50"/>
      <c r="G43" s="50"/>
      <c r="H43" s="50"/>
      <c r="I43" s="50"/>
      <c r="J43" s="194"/>
    </row>
    <row r="44" spans="2:10" x14ac:dyDescent="0.25">
      <c r="B44" s="193"/>
      <c r="C44" s="179"/>
      <c r="D44" s="252" t="str">
        <f>IFERROR('Site listing'!A1,"-")</f>
        <v>NHS BARNSLEY CCG</v>
      </c>
      <c r="E44" s="252"/>
      <c r="F44" s="252"/>
      <c r="G44" s="252"/>
      <c r="H44" s="252"/>
      <c r="I44" s="252"/>
      <c r="J44" s="194"/>
    </row>
    <row r="45" spans="2:10" ht="15" customHeight="1" x14ac:dyDescent="0.25">
      <c r="B45" s="193"/>
      <c r="C45" s="179" t="s">
        <v>402</v>
      </c>
      <c r="D45" s="252"/>
      <c r="E45" s="252"/>
      <c r="F45" s="252"/>
      <c r="G45" s="252"/>
      <c r="H45" s="252"/>
      <c r="I45" s="252"/>
      <c r="J45" s="194"/>
    </row>
    <row r="46" spans="2:10" ht="6.75" customHeight="1" x14ac:dyDescent="0.35">
      <c r="B46" s="193"/>
      <c r="C46" s="179"/>
      <c r="D46" s="50"/>
      <c r="E46" s="131"/>
      <c r="F46" s="131"/>
      <c r="G46" s="131"/>
      <c r="H46" s="131"/>
      <c r="I46" s="131"/>
      <c r="J46" s="194"/>
    </row>
    <row r="47" spans="2:10" ht="16.5" x14ac:dyDescent="0.3">
      <c r="B47" s="193"/>
      <c r="C47" s="14"/>
      <c r="D47" s="189" t="s">
        <v>403</v>
      </c>
      <c r="E47" s="248">
        <f>VLOOKUP($D$1,MasterList[],4,FALSE)</f>
        <v>1</v>
      </c>
      <c r="F47" s="249"/>
      <c r="G47" s="249"/>
      <c r="H47" s="249"/>
      <c r="I47" s="50"/>
      <c r="J47" s="194"/>
    </row>
    <row r="48" spans="2:10" x14ac:dyDescent="0.25">
      <c r="B48" s="193"/>
      <c r="C48" s="179"/>
      <c r="D48" s="50"/>
      <c r="E48" s="50"/>
      <c r="F48" s="50"/>
      <c r="G48" s="14"/>
      <c r="H48" s="50"/>
      <c r="I48" s="50"/>
      <c r="J48" s="194"/>
    </row>
    <row r="49" spans="2:10" x14ac:dyDescent="0.25">
      <c r="B49" s="193"/>
      <c r="C49" s="178"/>
      <c r="D49" s="190" t="s">
        <v>368</v>
      </c>
      <c r="E49" s="191"/>
      <c r="F49" s="191"/>
      <c r="G49" s="191"/>
      <c r="H49" s="191"/>
      <c r="I49" s="192" t="s">
        <v>4417</v>
      </c>
      <c r="J49" s="194"/>
    </row>
    <row r="50" spans="2:10" ht="18" customHeight="1" x14ac:dyDescent="0.25">
      <c r="B50" s="193"/>
      <c r="C50" s="175"/>
      <c r="D50" s="175"/>
      <c r="E50" s="101" t="s">
        <v>4490</v>
      </c>
      <c r="F50" s="102" t="s">
        <v>4422</v>
      </c>
      <c r="G50" s="272"/>
      <c r="H50" s="273"/>
      <c r="I50" s="226" t="str">
        <f>IFERROR(E16*$E$47,E16)</f>
        <v>-</v>
      </c>
      <c r="J50" s="194"/>
    </row>
    <row r="51" spans="2:10" ht="18" customHeight="1" x14ac:dyDescent="0.25">
      <c r="B51" s="193"/>
      <c r="C51" s="179"/>
      <c r="D51" s="167"/>
      <c r="E51" s="101" t="s">
        <v>4482</v>
      </c>
      <c r="F51" s="102" t="s">
        <v>4491</v>
      </c>
      <c r="G51" s="272"/>
      <c r="H51" s="273"/>
      <c r="I51" s="226" t="str">
        <f>IFERROR(I16*$E$47,I16)</f>
        <v>-</v>
      </c>
      <c r="J51" s="194"/>
    </row>
    <row r="52" spans="2:10" ht="18" customHeight="1" x14ac:dyDescent="0.35">
      <c r="B52" s="193"/>
      <c r="C52" s="179"/>
      <c r="D52" s="50"/>
      <c r="E52" s="101" t="s">
        <v>4492</v>
      </c>
      <c r="F52" s="102" t="s">
        <v>4493</v>
      </c>
      <c r="G52" s="272"/>
      <c r="H52" s="273"/>
      <c r="I52" s="226" t="str">
        <f>IF(ISNUMBER(I50)=TRUE,I50*I95,"-")</f>
        <v>-</v>
      </c>
      <c r="J52" s="194"/>
    </row>
    <row r="53" spans="2:10" x14ac:dyDescent="0.25">
      <c r="B53" s="193"/>
      <c r="C53" s="179"/>
      <c r="D53" s="50"/>
      <c r="E53" s="167"/>
      <c r="F53" s="110"/>
      <c r="G53" s="14"/>
      <c r="H53" s="50"/>
      <c r="I53" s="108"/>
      <c r="J53" s="194"/>
    </row>
    <row r="54" spans="2:10" x14ac:dyDescent="0.25">
      <c r="B54" s="193"/>
      <c r="C54" s="179"/>
      <c r="D54" s="50"/>
      <c r="E54" s="50"/>
      <c r="F54" s="50"/>
      <c r="G54" s="14"/>
      <c r="H54" s="50"/>
      <c r="I54" s="50"/>
      <c r="J54" s="194"/>
    </row>
    <row r="55" spans="2:10" x14ac:dyDescent="0.25">
      <c r="B55" s="193"/>
      <c r="C55" s="179"/>
      <c r="D55" s="190" t="s">
        <v>377</v>
      </c>
      <c r="E55" s="191"/>
      <c r="F55" s="191"/>
      <c r="G55" s="191"/>
      <c r="H55" s="191"/>
      <c r="I55" s="192" t="s">
        <v>4417</v>
      </c>
      <c r="J55" s="194"/>
    </row>
    <row r="56" spans="2:10" ht="18" customHeight="1" x14ac:dyDescent="0.25">
      <c r="B56" s="193"/>
      <c r="C56" s="179"/>
      <c r="D56" s="175"/>
      <c r="E56" s="101" t="s">
        <v>4490</v>
      </c>
      <c r="F56" s="102" t="s">
        <v>4422</v>
      </c>
      <c r="G56" s="272"/>
      <c r="H56" s="273"/>
      <c r="I56" s="226">
        <f>IFERROR(E17*$E$47,E17)</f>
        <v>171924</v>
      </c>
      <c r="J56" s="194"/>
    </row>
    <row r="57" spans="2:10" ht="18" customHeight="1" x14ac:dyDescent="0.25">
      <c r="B57" s="193"/>
      <c r="C57" s="179"/>
      <c r="D57" s="167"/>
      <c r="E57" s="101" t="s">
        <v>4482</v>
      </c>
      <c r="F57" s="102" t="s">
        <v>4491</v>
      </c>
      <c r="G57" s="272"/>
      <c r="H57" s="273"/>
      <c r="I57" s="226">
        <f>IFERROR(I17*$E$47,I17)</f>
        <v>4478.7999999999993</v>
      </c>
      <c r="J57" s="194"/>
    </row>
    <row r="58" spans="2:10" ht="18" customHeight="1" x14ac:dyDescent="0.35">
      <c r="B58" s="193"/>
      <c r="C58" s="179"/>
      <c r="D58" s="50"/>
      <c r="E58" s="101" t="s">
        <v>4492</v>
      </c>
      <c r="F58" s="102" t="s">
        <v>4493</v>
      </c>
      <c r="G58" s="272"/>
      <c r="H58" s="273"/>
      <c r="I58" s="226">
        <f>IF(ISNUMBER(I56)=TRUE,I56*I98,"-")</f>
        <v>36070.171487772001</v>
      </c>
      <c r="J58" s="194"/>
    </row>
    <row r="59" spans="2:10" x14ac:dyDescent="0.25">
      <c r="B59" s="193"/>
      <c r="C59" s="179"/>
      <c r="D59" s="50"/>
      <c r="E59" s="50"/>
      <c r="F59" s="110"/>
      <c r="G59" s="14"/>
      <c r="H59" s="50"/>
      <c r="I59" s="108"/>
      <c r="J59" s="194"/>
    </row>
    <row r="60" spans="2:10" x14ac:dyDescent="0.25">
      <c r="B60" s="193"/>
      <c r="C60" s="179"/>
      <c r="D60" s="50"/>
      <c r="E60" s="50"/>
      <c r="F60" s="50"/>
      <c r="G60" s="14"/>
      <c r="H60" s="50"/>
      <c r="I60" s="108"/>
      <c r="J60" s="194"/>
    </row>
    <row r="61" spans="2:10" x14ac:dyDescent="0.25">
      <c r="B61" s="193"/>
      <c r="C61" s="179"/>
      <c r="D61" s="190" t="s">
        <v>624</v>
      </c>
      <c r="E61" s="191"/>
      <c r="F61" s="191"/>
      <c r="G61" s="192" t="s">
        <v>4341</v>
      </c>
      <c r="H61" s="192" t="s">
        <v>4342</v>
      </c>
      <c r="I61" s="192" t="s">
        <v>4417</v>
      </c>
      <c r="J61" s="194"/>
    </row>
    <row r="62" spans="2:10" ht="18" customHeight="1" x14ac:dyDescent="0.25">
      <c r="B62" s="193"/>
      <c r="C62" s="179"/>
      <c r="D62" s="175"/>
      <c r="E62" s="101" t="s">
        <v>4490</v>
      </c>
      <c r="F62" s="102" t="s">
        <v>4494</v>
      </c>
      <c r="G62" s="226">
        <f>IFERROR(C20*$E$47,C20)</f>
        <v>526</v>
      </c>
      <c r="H62" s="226">
        <f t="shared" ref="H62:I62" si="0">IFERROR(D20*$E$47,D20)</f>
        <v>802</v>
      </c>
      <c r="I62" s="226">
        <f t="shared" si="0"/>
        <v>584</v>
      </c>
      <c r="J62" s="194"/>
    </row>
    <row r="63" spans="2:10" ht="18" customHeight="1" x14ac:dyDescent="0.25">
      <c r="B63" s="193"/>
      <c r="C63" s="179"/>
      <c r="D63" s="167"/>
      <c r="E63" s="101" t="s">
        <v>4482</v>
      </c>
      <c r="F63" s="102" t="s">
        <v>4491</v>
      </c>
      <c r="G63" s="226">
        <f>IFERROR(G20*$E$47,G20)</f>
        <v>1983.68</v>
      </c>
      <c r="H63" s="226">
        <f t="shared" ref="H63:I63" si="1">IFERROR(H20*$E$47,H20)</f>
        <v>2801.28</v>
      </c>
      <c r="I63" s="226">
        <f t="shared" si="1"/>
        <v>2008.2</v>
      </c>
      <c r="J63" s="194"/>
    </row>
    <row r="64" spans="2:10" ht="18" customHeight="1" x14ac:dyDescent="0.35">
      <c r="B64" s="193"/>
      <c r="C64" s="179"/>
      <c r="D64" s="50"/>
      <c r="E64" s="101" t="s">
        <v>4492</v>
      </c>
      <c r="F64" s="102" t="s">
        <v>4493</v>
      </c>
      <c r="G64" s="226">
        <f>IF(ISNUMBER(G62)=TRUE,G62*(G101+G103),"-")</f>
        <v>553.66759999999999</v>
      </c>
      <c r="H64" s="226">
        <f t="shared" ref="H64:I64" si="2">IF(ISNUMBER(H62)=TRUE,H62*(H101+H103),"-")</f>
        <v>844.18520000000001</v>
      </c>
      <c r="I64" s="226">
        <f t="shared" si="2"/>
        <v>614.71839999999997</v>
      </c>
      <c r="J64" s="194"/>
    </row>
    <row r="65" spans="2:10" x14ac:dyDescent="0.25">
      <c r="B65" s="193"/>
      <c r="C65" s="179"/>
      <c r="D65" s="50"/>
      <c r="E65" s="50"/>
      <c r="F65" s="110"/>
      <c r="G65" s="14"/>
      <c r="H65" s="50"/>
      <c r="I65" s="108"/>
      <c r="J65" s="194"/>
    </row>
    <row r="66" spans="2:10" x14ac:dyDescent="0.25">
      <c r="B66" s="193"/>
      <c r="C66" s="14"/>
      <c r="D66" s="50"/>
      <c r="E66" s="52"/>
      <c r="F66" s="50"/>
      <c r="G66" s="50"/>
      <c r="H66" s="50"/>
      <c r="I66" s="50"/>
      <c r="J66" s="194"/>
    </row>
    <row r="67" spans="2:10" x14ac:dyDescent="0.25">
      <c r="B67" s="193"/>
      <c r="C67" s="14"/>
      <c r="D67" s="190" t="s">
        <v>4409</v>
      </c>
      <c r="E67" s="191"/>
      <c r="F67" s="191"/>
      <c r="G67" s="192" t="s">
        <v>4341</v>
      </c>
      <c r="H67" s="192" t="s">
        <v>4342</v>
      </c>
      <c r="I67" s="192" t="s">
        <v>4417</v>
      </c>
      <c r="J67" s="194"/>
    </row>
    <row r="68" spans="2:10" ht="18" customHeight="1" x14ac:dyDescent="0.25">
      <c r="B68" s="193"/>
      <c r="C68" s="14"/>
      <c r="D68" s="180" t="s">
        <v>4486</v>
      </c>
      <c r="E68" s="101" t="s">
        <v>4490</v>
      </c>
      <c r="F68" s="102" t="s">
        <v>4495</v>
      </c>
      <c r="G68" s="227" t="str">
        <f>IFERROR(C31*$E$47,C31)</f>
        <v>-</v>
      </c>
      <c r="H68" s="227" t="str">
        <f t="shared" ref="H68:I68" si="3">IFERROR(D31*$E$47,D31)</f>
        <v>-</v>
      </c>
      <c r="I68" s="227" t="str">
        <f t="shared" si="3"/>
        <v>-</v>
      </c>
      <c r="J68" s="194"/>
    </row>
    <row r="69" spans="2:10" ht="18" customHeight="1" x14ac:dyDescent="0.25">
      <c r="B69" s="193"/>
      <c r="C69" s="14"/>
      <c r="D69" s="167"/>
      <c r="E69" s="101" t="s">
        <v>4482</v>
      </c>
      <c r="F69" s="102" t="s">
        <v>4491</v>
      </c>
      <c r="G69" s="226" t="str">
        <f>IFERROR(G31*$E$47,G31)</f>
        <v>-</v>
      </c>
      <c r="H69" s="226" t="str">
        <f t="shared" ref="H69:I69" si="4">IFERROR(H31*$E$47,H31)</f>
        <v>-</v>
      </c>
      <c r="I69" s="226" t="str">
        <f t="shared" si="4"/>
        <v>-</v>
      </c>
      <c r="J69" s="194"/>
    </row>
    <row r="70" spans="2:10" ht="18" customHeight="1" thickBot="1" x14ac:dyDescent="0.4">
      <c r="B70" s="193"/>
      <c r="C70" s="14"/>
      <c r="D70" s="50"/>
      <c r="E70" s="187" t="s">
        <v>4555</v>
      </c>
      <c r="F70" s="188" t="s">
        <v>4493</v>
      </c>
      <c r="G70" s="229" t="str">
        <f>IF(ISNUMBER(G68)=TRUE,G68*G119,"-")</f>
        <v>-</v>
      </c>
      <c r="H70" s="229" t="str">
        <f t="shared" ref="H70:I70" si="5">IF(ISNUMBER(H68)=TRUE,H68*H119,"-")</f>
        <v>-</v>
      </c>
      <c r="I70" s="229" t="str">
        <f t="shared" si="5"/>
        <v>-</v>
      </c>
      <c r="J70" s="194"/>
    </row>
    <row r="71" spans="2:10" ht="18" customHeight="1" x14ac:dyDescent="0.25">
      <c r="B71" s="193"/>
      <c r="C71" s="14"/>
      <c r="D71" s="186" t="s">
        <v>4487</v>
      </c>
      <c r="E71" s="177" t="s">
        <v>4490</v>
      </c>
      <c r="F71" s="174" t="s">
        <v>4495</v>
      </c>
      <c r="G71" s="227" t="str">
        <f>IFERROR(C33*$E$47,C33)</f>
        <v>-</v>
      </c>
      <c r="H71" s="227">
        <f t="shared" ref="H71:I71" si="6">IFERROR(D33*$E$47,D33)</f>
        <v>0.38399999999999995</v>
      </c>
      <c r="I71" s="227" t="str">
        <f t="shared" si="6"/>
        <v>-</v>
      </c>
      <c r="J71" s="194"/>
    </row>
    <row r="72" spans="2:10" ht="18" customHeight="1" x14ac:dyDescent="0.25">
      <c r="B72" s="193"/>
      <c r="C72" s="14"/>
      <c r="D72" s="186"/>
      <c r="E72" s="101" t="s">
        <v>4482</v>
      </c>
      <c r="F72" s="102" t="s">
        <v>4491</v>
      </c>
      <c r="G72" s="226" t="str">
        <f>IFERROR(G33*$E$47,G33)</f>
        <v>-</v>
      </c>
      <c r="H72" s="226">
        <f t="shared" ref="H72:I72" si="7">IFERROR(H33*$E$47,H33)</f>
        <v>69.818181818181813</v>
      </c>
      <c r="I72" s="226" t="str">
        <f t="shared" si="7"/>
        <v>-</v>
      </c>
      <c r="J72" s="194"/>
    </row>
    <row r="73" spans="2:10" ht="18" customHeight="1" thickBot="1" x14ac:dyDescent="0.4">
      <c r="B73" s="193"/>
      <c r="C73" s="14"/>
      <c r="D73" s="186"/>
      <c r="E73" s="187" t="s">
        <v>4555</v>
      </c>
      <c r="F73" s="188" t="s">
        <v>4493</v>
      </c>
      <c r="G73" s="229" t="str">
        <f>IF(ISNUMBER(G71)=TRUE,G71*G125,"-")</f>
        <v>-</v>
      </c>
      <c r="H73" s="229">
        <f t="shared" ref="H73:I73" si="8">IF(ISNUMBER(H71)=TRUE,H71*H125,"-")</f>
        <v>76.415999999999997</v>
      </c>
      <c r="I73" s="229" t="str">
        <f t="shared" si="8"/>
        <v>-</v>
      </c>
      <c r="J73" s="194"/>
    </row>
    <row r="74" spans="2:10" ht="18" customHeight="1" x14ac:dyDescent="0.25">
      <c r="B74" s="193"/>
      <c r="C74" s="14"/>
      <c r="D74" s="186" t="s">
        <v>4496</v>
      </c>
      <c r="E74" s="177" t="s">
        <v>4490</v>
      </c>
      <c r="F74" s="174" t="s">
        <v>4495</v>
      </c>
      <c r="G74" s="228" t="str">
        <f>IFERROR(C35*$E$47,C35)</f>
        <v>-</v>
      </c>
      <c r="H74" s="228" t="str">
        <f t="shared" ref="H74:I74" si="9">IFERROR(D35*$E$47,D35)</f>
        <v>-</v>
      </c>
      <c r="I74" s="228" t="str">
        <f t="shared" si="9"/>
        <v>-</v>
      </c>
      <c r="J74" s="194"/>
    </row>
    <row r="75" spans="2:10" ht="18" customHeight="1" x14ac:dyDescent="0.25">
      <c r="B75" s="193"/>
      <c r="C75" s="14"/>
      <c r="D75" s="186"/>
      <c r="E75" s="101" t="s">
        <v>4482</v>
      </c>
      <c r="F75" s="102" t="s">
        <v>4491</v>
      </c>
      <c r="G75" s="226" t="str">
        <f>IFERROR(G35*$E$47,G35)</f>
        <v>-</v>
      </c>
      <c r="H75" s="226" t="str">
        <f t="shared" ref="H75:I75" si="10">IFERROR(H35*$E$47,H35)</f>
        <v>-</v>
      </c>
      <c r="I75" s="226" t="str">
        <f t="shared" si="10"/>
        <v>-</v>
      </c>
      <c r="J75" s="194"/>
    </row>
    <row r="76" spans="2:10" ht="18" customHeight="1" thickBot="1" x14ac:dyDescent="0.4">
      <c r="B76" s="193"/>
      <c r="C76" s="14"/>
      <c r="D76" s="186"/>
      <c r="E76" s="187" t="s">
        <v>4555</v>
      </c>
      <c r="F76" s="188" t="s">
        <v>4493</v>
      </c>
      <c r="G76" s="229" t="str">
        <f>IF(ISNUMBER(G74)=TRUE,G74*G119,"-")</f>
        <v>-</v>
      </c>
      <c r="H76" s="229" t="str">
        <f t="shared" ref="H76:I76" si="11">IF(ISNUMBER(H74)=TRUE,H74*H119,"-")</f>
        <v>-</v>
      </c>
      <c r="I76" s="229" t="str">
        <f t="shared" si="11"/>
        <v>-</v>
      </c>
      <c r="J76" s="194"/>
    </row>
    <row r="77" spans="2:10" ht="18" customHeight="1" x14ac:dyDescent="0.25">
      <c r="B77" s="193"/>
      <c r="C77" s="14"/>
      <c r="D77" s="186" t="s">
        <v>818</v>
      </c>
      <c r="E77" s="177" t="s">
        <v>4490</v>
      </c>
      <c r="F77" s="174" t="s">
        <v>4495</v>
      </c>
      <c r="G77" s="227" t="str">
        <f>IFERROR(C37*$E$47,C37)</f>
        <v>-</v>
      </c>
      <c r="H77" s="227" t="str">
        <f t="shared" ref="H77:I77" si="12">IFERROR(D37*$E$47,D37)</f>
        <v>-</v>
      </c>
      <c r="I77" s="227" t="str">
        <f t="shared" si="12"/>
        <v>-</v>
      </c>
      <c r="J77" s="194"/>
    </row>
    <row r="78" spans="2:10" ht="18" customHeight="1" x14ac:dyDescent="0.25">
      <c r="B78" s="193"/>
      <c r="C78" s="14"/>
      <c r="D78" s="186"/>
      <c r="E78" s="101" t="s">
        <v>4482</v>
      </c>
      <c r="F78" s="102" t="s">
        <v>4491</v>
      </c>
      <c r="G78" s="226" t="str">
        <f>IFERROR(G37*$E$47,G37)</f>
        <v>-</v>
      </c>
      <c r="H78" s="226" t="str">
        <f t="shared" ref="H78:I78" si="13">IFERROR(H37*$E$47,H37)</f>
        <v>-</v>
      </c>
      <c r="I78" s="226" t="str">
        <f t="shared" si="13"/>
        <v>-</v>
      </c>
      <c r="J78" s="194"/>
    </row>
    <row r="79" spans="2:10" ht="18" customHeight="1" thickBot="1" x14ac:dyDescent="0.4">
      <c r="B79" s="193"/>
      <c r="C79" s="14"/>
      <c r="D79" s="186"/>
      <c r="E79" s="187" t="s">
        <v>4555</v>
      </c>
      <c r="F79" s="188" t="s">
        <v>4493</v>
      </c>
      <c r="G79" s="229" t="str">
        <f>IF(ISNUMBER(G77)=TRUE,G77*G106,"-")</f>
        <v>-</v>
      </c>
      <c r="H79" s="229" t="str">
        <f t="shared" ref="H79:I79" si="14">IF(ISNUMBER(H77)=TRUE,H77*H106,"-")</f>
        <v>-</v>
      </c>
      <c r="I79" s="229" t="str">
        <f t="shared" si="14"/>
        <v>-</v>
      </c>
      <c r="J79" s="194"/>
    </row>
    <row r="80" spans="2:10" ht="18" customHeight="1" x14ac:dyDescent="0.25">
      <c r="B80" s="193"/>
      <c r="C80" s="14"/>
      <c r="D80" s="186" t="s">
        <v>4488</v>
      </c>
      <c r="E80" s="177" t="s">
        <v>4490</v>
      </c>
      <c r="F80" s="174" t="s">
        <v>4495</v>
      </c>
      <c r="G80" s="227" t="str">
        <f>IFERROR(C39*$E$47,C39)</f>
        <v>-</v>
      </c>
      <c r="H80" s="227" t="str">
        <f>IFERROR(D39*$E$47,D39)</f>
        <v>-</v>
      </c>
      <c r="I80" s="227" t="str">
        <f>IFERROR(E39*$E$47,E39)</f>
        <v>-</v>
      </c>
      <c r="J80" s="194"/>
    </row>
    <row r="81" spans="2:10" ht="18" customHeight="1" x14ac:dyDescent="0.25">
      <c r="B81" s="193"/>
      <c r="C81" s="14"/>
      <c r="D81" s="183"/>
      <c r="E81" s="101" t="s">
        <v>4482</v>
      </c>
      <c r="F81" s="102" t="s">
        <v>4491</v>
      </c>
      <c r="G81" s="226" t="str">
        <f>IFERROR(G39*$E$47,G39)</f>
        <v>-</v>
      </c>
      <c r="H81" s="226" t="str">
        <f>IFERROR(H39*$E$47,H39)</f>
        <v>-</v>
      </c>
      <c r="I81" s="226" t="str">
        <f>IFERROR(I39*$E$47,I39)</f>
        <v>-</v>
      </c>
      <c r="J81" s="194"/>
    </row>
    <row r="82" spans="2:10" ht="18" customHeight="1" thickBot="1" x14ac:dyDescent="0.4">
      <c r="B82" s="193"/>
      <c r="C82" s="14"/>
      <c r="D82" s="183"/>
      <c r="E82" s="187" t="s">
        <v>4555</v>
      </c>
      <c r="F82" s="188" t="s">
        <v>4493</v>
      </c>
      <c r="G82" s="229" t="str">
        <f>IF(ISNUMBER(G80)=TRUE,G80*G106,"-")</f>
        <v>-</v>
      </c>
      <c r="H82" s="229" t="str">
        <f t="shared" ref="H82:I82" si="15">IF(ISNUMBER(H80)=TRUE,H80*H106,"-")</f>
        <v>-</v>
      </c>
      <c r="I82" s="229" t="str">
        <f t="shared" si="15"/>
        <v>-</v>
      </c>
      <c r="J82" s="194"/>
    </row>
    <row r="83" spans="2:10" x14ac:dyDescent="0.25">
      <c r="B83" s="193"/>
      <c r="C83" s="14"/>
      <c r="D83" s="181"/>
      <c r="E83" s="181"/>
      <c r="F83" s="184"/>
      <c r="G83" s="185"/>
      <c r="H83" s="181"/>
      <c r="I83" s="182"/>
      <c r="J83" s="194"/>
    </row>
    <row r="84" spans="2:10" x14ac:dyDescent="0.25">
      <c r="B84" s="193"/>
      <c r="C84" s="50"/>
      <c r="D84" s="51"/>
      <c r="E84" s="50"/>
      <c r="F84" s="14"/>
      <c r="G84" s="176" t="s">
        <v>4489</v>
      </c>
      <c r="H84" s="50"/>
      <c r="I84" s="50"/>
      <c r="J84" s="194"/>
    </row>
    <row r="85" spans="2:10" x14ac:dyDescent="0.25">
      <c r="B85" s="193"/>
      <c r="C85" s="50"/>
      <c r="D85" s="51"/>
      <c r="E85" s="50"/>
      <c r="F85" s="14"/>
      <c r="G85" s="176" t="s">
        <v>4556</v>
      </c>
      <c r="H85" s="50"/>
      <c r="I85" s="50"/>
      <c r="J85" s="194"/>
    </row>
    <row r="86" spans="2:10" ht="15.75" thickBot="1" x14ac:dyDescent="0.3">
      <c r="B86" s="195"/>
      <c r="C86" s="196"/>
      <c r="D86" s="196"/>
      <c r="E86" s="196"/>
      <c r="F86" s="196"/>
      <c r="G86" s="196"/>
      <c r="H86" s="197"/>
      <c r="I86" s="196"/>
      <c r="J86" s="198"/>
    </row>
    <row r="87" spans="2:10" x14ac:dyDescent="0.25"/>
    <row r="88" spans="2:10" ht="15.75" hidden="1" thickBot="1" x14ac:dyDescent="0.3"/>
    <row r="89" spans="2:10" ht="15.75" hidden="1" thickBot="1" x14ac:dyDescent="0.3">
      <c r="C89" s="133" t="s">
        <v>4413</v>
      </c>
      <c r="D89" s="134" t="s">
        <v>4414</v>
      </c>
      <c r="E89" s="134" t="s">
        <v>4415</v>
      </c>
      <c r="F89" s="134" t="s">
        <v>4416</v>
      </c>
      <c r="G89" s="135" t="s">
        <v>4341</v>
      </c>
      <c r="H89" s="136" t="s">
        <v>4342</v>
      </c>
      <c r="I89" s="137" t="s">
        <v>4417</v>
      </c>
      <c r="J89" s="138" t="s">
        <v>4418</v>
      </c>
    </row>
    <row r="90" spans="2:10" hidden="1" x14ac:dyDescent="0.25">
      <c r="C90" s="139" t="s">
        <v>4419</v>
      </c>
      <c r="D90" s="140"/>
      <c r="E90" s="141"/>
      <c r="F90" s="140"/>
      <c r="G90" s="141"/>
      <c r="H90" s="142"/>
      <c r="I90" s="137"/>
      <c r="J90" s="59"/>
    </row>
    <row r="91" spans="2:10" hidden="1" x14ac:dyDescent="0.25">
      <c r="C91" s="143" t="s">
        <v>4420</v>
      </c>
      <c r="D91" s="144" t="s">
        <v>4421</v>
      </c>
      <c r="E91" s="145" t="s">
        <v>4422</v>
      </c>
      <c r="F91" s="146">
        <v>2</v>
      </c>
      <c r="G91" s="146">
        <v>0.44547999999999999</v>
      </c>
      <c r="H91" s="146">
        <v>0.49425999999999998</v>
      </c>
      <c r="I91" s="146">
        <v>0.46218999999999999</v>
      </c>
      <c r="J91" s="147"/>
    </row>
    <row r="92" spans="2:10" hidden="1" x14ac:dyDescent="0.25">
      <c r="C92" s="143" t="s">
        <v>4423</v>
      </c>
      <c r="D92" s="144" t="s">
        <v>4421</v>
      </c>
      <c r="E92" s="145" t="s">
        <v>4422</v>
      </c>
      <c r="F92" s="146">
        <v>3</v>
      </c>
      <c r="G92" s="146">
        <v>3.8089999999999999E-2</v>
      </c>
      <c r="H92" s="146">
        <v>4.3220000000000001E-2</v>
      </c>
      <c r="I92" s="148">
        <v>3.8159999999999999E-2</v>
      </c>
      <c r="J92" s="147"/>
    </row>
    <row r="93" spans="2:10" hidden="1" x14ac:dyDescent="0.25">
      <c r="C93" s="144" t="s">
        <v>4424</v>
      </c>
      <c r="D93" s="144" t="s">
        <v>4421</v>
      </c>
      <c r="E93" s="145" t="s">
        <v>4422</v>
      </c>
      <c r="F93" s="146">
        <v>3</v>
      </c>
      <c r="G93" s="146">
        <v>7.0330000000000004E-2</v>
      </c>
      <c r="H93" s="146">
        <v>7.5270000000000004E-2</v>
      </c>
      <c r="I93" s="148">
        <v>6.8879999999999997E-2</v>
      </c>
      <c r="J93" s="147"/>
    </row>
    <row r="94" spans="2:10" hidden="1" x14ac:dyDescent="0.25">
      <c r="C94" s="144" t="s">
        <v>4425</v>
      </c>
      <c r="D94" s="144" t="s">
        <v>4421</v>
      </c>
      <c r="E94" s="145" t="s">
        <v>4422</v>
      </c>
      <c r="F94" s="146">
        <v>3</v>
      </c>
      <c r="G94" s="146">
        <v>6.0099999999999997E-3</v>
      </c>
      <c r="H94" s="146">
        <v>6.5799999999999999E-3</v>
      </c>
      <c r="I94" s="148">
        <v>5.6899999999999997E-3</v>
      </c>
      <c r="J94" s="147"/>
    </row>
    <row r="95" spans="2:10" hidden="1" x14ac:dyDescent="0.25">
      <c r="C95" s="149" t="s">
        <v>4426</v>
      </c>
      <c r="D95" s="149" t="s">
        <v>4427</v>
      </c>
      <c r="E95" s="150" t="s">
        <v>4422</v>
      </c>
      <c r="F95" s="150" t="s">
        <v>4428</v>
      </c>
      <c r="G95" s="151">
        <f t="shared" ref="G95:I95" si="16">SUM(G91:G94)</f>
        <v>0.55991000000000002</v>
      </c>
      <c r="H95" s="151">
        <f t="shared" si="16"/>
        <v>0.61932999999999994</v>
      </c>
      <c r="I95" s="151">
        <f t="shared" si="16"/>
        <v>0.57491999999999988</v>
      </c>
      <c r="J95" s="147"/>
    </row>
    <row r="96" spans="2:10" hidden="1" x14ac:dyDescent="0.25">
      <c r="C96" s="144" t="s">
        <v>4431</v>
      </c>
      <c r="D96" s="144" t="s">
        <v>4432</v>
      </c>
      <c r="E96" s="145" t="s">
        <v>4422</v>
      </c>
      <c r="F96" s="146">
        <v>1</v>
      </c>
      <c r="G96" s="152">
        <v>0.18404000000000001</v>
      </c>
      <c r="H96" s="152">
        <v>0.18497300300000002</v>
      </c>
      <c r="I96" s="152">
        <f t="shared" ref="I96:I97" si="17">H96</f>
        <v>0.18497300300000002</v>
      </c>
      <c r="J96" s="147" t="s">
        <v>4433</v>
      </c>
    </row>
    <row r="97" spans="3:10" hidden="1" x14ac:dyDescent="0.25">
      <c r="C97" s="144" t="s">
        <v>4434</v>
      </c>
      <c r="D97" s="144" t="s">
        <v>4432</v>
      </c>
      <c r="E97" s="145" t="s">
        <v>4422</v>
      </c>
      <c r="F97" s="146">
        <v>3</v>
      </c>
      <c r="G97" s="152">
        <v>2.81E-2</v>
      </c>
      <c r="H97" s="152">
        <v>2.4830000000000001E-2</v>
      </c>
      <c r="I97" s="152">
        <f t="shared" si="17"/>
        <v>2.4830000000000001E-2</v>
      </c>
      <c r="J97" s="147" t="s">
        <v>4435</v>
      </c>
    </row>
    <row r="98" spans="3:10" ht="15.75" hidden="1" thickBot="1" x14ac:dyDescent="0.3">
      <c r="C98" s="149" t="s">
        <v>377</v>
      </c>
      <c r="D98" s="149" t="s">
        <v>4427</v>
      </c>
      <c r="E98" s="150" t="s">
        <v>4429</v>
      </c>
      <c r="F98" s="150" t="s">
        <v>4428</v>
      </c>
      <c r="G98" s="151">
        <f>SUM(G96:G97)</f>
        <v>0.21214</v>
      </c>
      <c r="H98" s="151">
        <f>SUM(H96:H97)</f>
        <v>0.20980300300000002</v>
      </c>
      <c r="I98" s="151">
        <f>SUM(I96:I97)</f>
        <v>0.20980300300000002</v>
      </c>
      <c r="J98" s="147" t="s">
        <v>4430</v>
      </c>
    </row>
    <row r="99" spans="3:10" hidden="1" x14ac:dyDescent="0.25">
      <c r="C99" s="154" t="s">
        <v>4436</v>
      </c>
      <c r="D99" s="141"/>
      <c r="E99" s="141"/>
      <c r="F99" s="141"/>
      <c r="G99" s="155"/>
      <c r="H99" s="156"/>
      <c r="I99" s="157"/>
      <c r="J99" s="134"/>
    </row>
    <row r="100" spans="3:10" hidden="1" x14ac:dyDescent="0.25">
      <c r="C100" s="158" t="s">
        <v>4437</v>
      </c>
      <c r="D100" s="144" t="s">
        <v>4437</v>
      </c>
      <c r="E100" s="145" t="s">
        <v>4438</v>
      </c>
      <c r="F100" s="146">
        <v>3</v>
      </c>
      <c r="G100" s="152">
        <v>0.34410000000000002</v>
      </c>
      <c r="H100" s="152">
        <v>0.34410000000000002</v>
      </c>
      <c r="I100" s="152">
        <v>0.34410000000000002</v>
      </c>
      <c r="J100" s="153"/>
    </row>
    <row r="101" spans="3:10" hidden="1" x14ac:dyDescent="0.25">
      <c r="C101" s="159" t="s">
        <v>4439</v>
      </c>
      <c r="D101" s="149" t="s">
        <v>4427</v>
      </c>
      <c r="E101" s="150" t="s">
        <v>4438</v>
      </c>
      <c r="F101" s="150">
        <v>3</v>
      </c>
      <c r="G101" s="151">
        <f>G100</f>
        <v>0.34410000000000002</v>
      </c>
      <c r="H101" s="151">
        <f t="shared" ref="H101:I101" si="18">H100</f>
        <v>0.34410000000000002</v>
      </c>
      <c r="I101" s="151">
        <f t="shared" si="18"/>
        <v>0.34410000000000002</v>
      </c>
      <c r="J101" s="153"/>
    </row>
    <row r="102" spans="3:10" hidden="1" x14ac:dyDescent="0.25">
      <c r="C102" s="158" t="s">
        <v>4440</v>
      </c>
      <c r="D102" s="144" t="s">
        <v>4440</v>
      </c>
      <c r="E102" s="145" t="s">
        <v>4438</v>
      </c>
      <c r="F102" s="146">
        <v>3</v>
      </c>
      <c r="G102" s="152">
        <v>0.70850000000000002</v>
      </c>
      <c r="H102" s="152">
        <v>0.70850000000000002</v>
      </c>
      <c r="I102" s="152">
        <v>0.70850000000000002</v>
      </c>
      <c r="J102" s="153"/>
    </row>
    <row r="103" spans="3:10" ht="15.75" hidden="1" thickBot="1" x14ac:dyDescent="0.3">
      <c r="C103" s="159" t="s">
        <v>4441</v>
      </c>
      <c r="D103" s="149" t="s">
        <v>4427</v>
      </c>
      <c r="E103" s="150" t="s">
        <v>4438</v>
      </c>
      <c r="F103" s="150">
        <v>3</v>
      </c>
      <c r="G103" s="151">
        <f>G102</f>
        <v>0.70850000000000002</v>
      </c>
      <c r="H103" s="151">
        <f t="shared" ref="H103:I103" si="19">H102</f>
        <v>0.70850000000000002</v>
      </c>
      <c r="I103" s="151">
        <f t="shared" si="19"/>
        <v>0.70850000000000002</v>
      </c>
      <c r="J103" s="160"/>
    </row>
    <row r="104" spans="3:10" hidden="1" x14ac:dyDescent="0.25">
      <c r="C104" s="161" t="s">
        <v>4442</v>
      </c>
      <c r="D104" s="141"/>
      <c r="E104" s="141"/>
      <c r="F104" s="141"/>
      <c r="G104" s="162"/>
      <c r="H104" s="156"/>
      <c r="I104" s="157"/>
      <c r="J104" s="137"/>
    </row>
    <row r="105" spans="3:10" hidden="1" x14ac:dyDescent="0.25">
      <c r="C105" s="144" t="s">
        <v>4443</v>
      </c>
      <c r="D105" s="144" t="s">
        <v>4444</v>
      </c>
      <c r="E105" s="145" t="s">
        <v>4445</v>
      </c>
      <c r="F105" s="146">
        <v>3</v>
      </c>
      <c r="G105" s="152">
        <v>21</v>
      </c>
      <c r="H105" s="152">
        <v>21</v>
      </c>
      <c r="I105" s="152">
        <v>21</v>
      </c>
      <c r="J105" s="147" t="s">
        <v>4446</v>
      </c>
    </row>
    <row r="106" spans="3:10" hidden="1" x14ac:dyDescent="0.25">
      <c r="C106" s="149" t="s">
        <v>4447</v>
      </c>
      <c r="D106" s="149" t="s">
        <v>4448</v>
      </c>
      <c r="E106" s="150" t="s">
        <v>4445</v>
      </c>
      <c r="F106" s="150">
        <v>3</v>
      </c>
      <c r="G106" s="151">
        <f>G105</f>
        <v>21</v>
      </c>
      <c r="H106" s="151">
        <f t="shared" ref="H106:I106" si="20">H105</f>
        <v>21</v>
      </c>
      <c r="I106" s="151">
        <f t="shared" si="20"/>
        <v>21</v>
      </c>
      <c r="J106" s="147" t="s">
        <v>4449</v>
      </c>
    </row>
    <row r="107" spans="3:10" hidden="1" x14ac:dyDescent="0.25">
      <c r="C107" s="144" t="s">
        <v>4443</v>
      </c>
      <c r="D107" s="144" t="s">
        <v>4444</v>
      </c>
      <c r="E107" s="145" t="s">
        <v>4445</v>
      </c>
      <c r="F107" s="146">
        <v>3</v>
      </c>
      <c r="G107" s="152">
        <v>21</v>
      </c>
      <c r="H107" s="152">
        <v>21</v>
      </c>
      <c r="I107" s="152">
        <v>21</v>
      </c>
      <c r="J107" s="147" t="s">
        <v>4450</v>
      </c>
    </row>
    <row r="108" spans="3:10" hidden="1" x14ac:dyDescent="0.25">
      <c r="C108" s="149" t="s">
        <v>4451</v>
      </c>
      <c r="D108" s="149" t="s">
        <v>4448</v>
      </c>
      <c r="E108" s="150" t="s">
        <v>4445</v>
      </c>
      <c r="F108" s="150">
        <v>3</v>
      </c>
      <c r="G108" s="151">
        <f>G107</f>
        <v>21</v>
      </c>
      <c r="H108" s="151">
        <f t="shared" ref="H108:I108" si="21">H107</f>
        <v>21</v>
      </c>
      <c r="I108" s="151">
        <f t="shared" si="21"/>
        <v>21</v>
      </c>
      <c r="J108" s="147" t="s">
        <v>4452</v>
      </c>
    </row>
    <row r="109" spans="3:10" hidden="1" x14ac:dyDescent="0.25">
      <c r="C109" s="245" t="s">
        <v>4453</v>
      </c>
      <c r="D109" s="144" t="s">
        <v>4454</v>
      </c>
      <c r="E109" s="145" t="s">
        <v>4445</v>
      </c>
      <c r="F109" s="146">
        <v>3</v>
      </c>
      <c r="G109" s="152">
        <v>6</v>
      </c>
      <c r="H109" s="152">
        <v>6</v>
      </c>
      <c r="I109" s="152">
        <v>6</v>
      </c>
      <c r="J109" s="147"/>
    </row>
    <row r="110" spans="3:10" hidden="1" x14ac:dyDescent="0.25">
      <c r="C110" s="246"/>
      <c r="D110" s="144" t="s">
        <v>4455</v>
      </c>
      <c r="E110" s="145" t="s">
        <v>4445</v>
      </c>
      <c r="F110" s="146">
        <v>3</v>
      </c>
      <c r="G110" s="152">
        <v>6</v>
      </c>
      <c r="H110" s="152">
        <v>6</v>
      </c>
      <c r="I110" s="152">
        <v>6</v>
      </c>
      <c r="J110" s="147"/>
    </row>
    <row r="111" spans="3:10" hidden="1" x14ac:dyDescent="0.25">
      <c r="C111" s="247"/>
      <c r="D111" s="144" t="s">
        <v>4456</v>
      </c>
      <c r="E111" s="145" t="s">
        <v>4445</v>
      </c>
      <c r="F111" s="146">
        <v>3</v>
      </c>
      <c r="G111" s="152">
        <v>6</v>
      </c>
      <c r="H111" s="152">
        <v>6</v>
      </c>
      <c r="I111" s="152">
        <v>6</v>
      </c>
      <c r="J111" s="147"/>
    </row>
    <row r="112" spans="3:10" hidden="1" x14ac:dyDescent="0.25">
      <c r="C112" s="163" t="s">
        <v>4457</v>
      </c>
      <c r="D112" s="149" t="s">
        <v>4458</v>
      </c>
      <c r="E112" s="150" t="s">
        <v>4445</v>
      </c>
      <c r="F112" s="150">
        <v>3</v>
      </c>
      <c r="G112" s="151">
        <f>AVERAGE(G109:G111)</f>
        <v>6</v>
      </c>
      <c r="H112" s="151">
        <f t="shared" ref="H112:I112" si="22">AVERAGE(H109:H111)</f>
        <v>6</v>
      </c>
      <c r="I112" s="151">
        <f t="shared" si="22"/>
        <v>6</v>
      </c>
      <c r="J112" s="147" t="s">
        <v>4459</v>
      </c>
    </row>
    <row r="113" spans="3:10" hidden="1" x14ac:dyDescent="0.25">
      <c r="C113" s="245" t="s">
        <v>4460</v>
      </c>
      <c r="D113" s="144" t="s">
        <v>4461</v>
      </c>
      <c r="E113" s="145" t="s">
        <v>4445</v>
      </c>
      <c r="F113" s="146">
        <v>3</v>
      </c>
      <c r="G113" s="152">
        <v>21</v>
      </c>
      <c r="H113" s="152">
        <v>21</v>
      </c>
      <c r="I113" s="152">
        <v>21</v>
      </c>
      <c r="J113" s="147"/>
    </row>
    <row r="114" spans="3:10" hidden="1" x14ac:dyDescent="0.25">
      <c r="C114" s="246"/>
      <c r="D114" s="144" t="s">
        <v>4462</v>
      </c>
      <c r="E114" s="145" t="s">
        <v>4445</v>
      </c>
      <c r="F114" s="146">
        <v>3</v>
      </c>
      <c r="G114" s="152">
        <v>21</v>
      </c>
      <c r="H114" s="152">
        <v>21</v>
      </c>
      <c r="I114" s="152">
        <v>21</v>
      </c>
      <c r="J114" s="147"/>
    </row>
    <row r="115" spans="3:10" hidden="1" x14ac:dyDescent="0.25">
      <c r="C115" s="246"/>
      <c r="D115" s="144" t="s">
        <v>4463</v>
      </c>
      <c r="E115" s="145" t="s">
        <v>4445</v>
      </c>
      <c r="F115" s="146">
        <v>3</v>
      </c>
      <c r="G115" s="152">
        <v>21</v>
      </c>
      <c r="H115" s="152">
        <v>21</v>
      </c>
      <c r="I115" s="152">
        <v>21</v>
      </c>
      <c r="J115" s="147"/>
    </row>
    <row r="116" spans="3:10" hidden="1" x14ac:dyDescent="0.25">
      <c r="C116" s="247"/>
      <c r="D116" s="144" t="s">
        <v>4464</v>
      </c>
      <c r="E116" s="145" t="s">
        <v>4445</v>
      </c>
      <c r="F116" s="146">
        <v>3</v>
      </c>
      <c r="G116" s="152">
        <v>21</v>
      </c>
      <c r="H116" s="152">
        <v>21</v>
      </c>
      <c r="I116" s="152">
        <v>21</v>
      </c>
      <c r="J116" s="147"/>
    </row>
    <row r="117" spans="3:10" hidden="1" x14ac:dyDescent="0.25">
      <c r="C117" s="149" t="s">
        <v>4465</v>
      </c>
      <c r="D117" s="149" t="s">
        <v>4458</v>
      </c>
      <c r="E117" s="150" t="s">
        <v>4445</v>
      </c>
      <c r="F117" s="150">
        <v>3</v>
      </c>
      <c r="G117" s="151">
        <f>AVERAGE(G113:G116)</f>
        <v>21</v>
      </c>
      <c r="H117" s="151">
        <f t="shared" ref="H117:I117" si="23">AVERAGE(H113:H116)</f>
        <v>21</v>
      </c>
      <c r="I117" s="151">
        <f t="shared" si="23"/>
        <v>21</v>
      </c>
      <c r="J117" s="147" t="s">
        <v>4466</v>
      </c>
    </row>
    <row r="118" spans="3:10" hidden="1" x14ac:dyDescent="0.25">
      <c r="C118" s="144" t="s">
        <v>4443</v>
      </c>
      <c r="D118" s="144" t="s">
        <v>4467</v>
      </c>
      <c r="E118" s="145" t="s">
        <v>4445</v>
      </c>
      <c r="F118" s="146">
        <v>3</v>
      </c>
      <c r="G118" s="152">
        <v>21</v>
      </c>
      <c r="H118" s="152">
        <v>21</v>
      </c>
      <c r="I118" s="152">
        <v>21</v>
      </c>
      <c r="J118" s="147" t="s">
        <v>4468</v>
      </c>
    </row>
    <row r="119" spans="3:10" hidden="1" x14ac:dyDescent="0.25">
      <c r="C119" s="149" t="s">
        <v>4469</v>
      </c>
      <c r="D119" s="149" t="s">
        <v>4448</v>
      </c>
      <c r="E119" s="150" t="s">
        <v>4445</v>
      </c>
      <c r="F119" s="150">
        <v>3</v>
      </c>
      <c r="G119" s="151">
        <f>G118</f>
        <v>21</v>
      </c>
      <c r="H119" s="151">
        <f t="shared" ref="H119:I119" si="24">H118</f>
        <v>21</v>
      </c>
      <c r="I119" s="151">
        <f t="shared" si="24"/>
        <v>21</v>
      </c>
      <c r="J119" s="147" t="s">
        <v>4470</v>
      </c>
    </row>
    <row r="120" spans="3:10" hidden="1" x14ac:dyDescent="0.25">
      <c r="C120" s="144" t="s">
        <v>4443</v>
      </c>
      <c r="D120" s="144" t="s">
        <v>4467</v>
      </c>
      <c r="E120" s="145" t="s">
        <v>4445</v>
      </c>
      <c r="F120" s="146">
        <v>3</v>
      </c>
      <c r="G120" s="152">
        <v>220</v>
      </c>
      <c r="H120" s="152">
        <v>220</v>
      </c>
      <c r="I120" s="152">
        <v>220</v>
      </c>
      <c r="J120" s="147" t="s">
        <v>4468</v>
      </c>
    </row>
    <row r="121" spans="3:10" hidden="1" x14ac:dyDescent="0.25">
      <c r="C121" s="149" t="s">
        <v>4471</v>
      </c>
      <c r="D121" s="149" t="s">
        <v>4448</v>
      </c>
      <c r="E121" s="150" t="s">
        <v>4445</v>
      </c>
      <c r="F121" s="150">
        <v>3</v>
      </c>
      <c r="G121" s="151">
        <f t="shared" ref="G121:I121" si="25">G120</f>
        <v>220</v>
      </c>
      <c r="H121" s="151">
        <f t="shared" si="25"/>
        <v>220</v>
      </c>
      <c r="I121" s="151">
        <f t="shared" si="25"/>
        <v>220</v>
      </c>
      <c r="J121" s="147" t="s">
        <v>4470</v>
      </c>
    </row>
    <row r="122" spans="3:10" hidden="1" x14ac:dyDescent="0.25">
      <c r="C122" s="144" t="s">
        <v>4443</v>
      </c>
      <c r="D122" s="144" t="s">
        <v>4472</v>
      </c>
      <c r="E122" s="145" t="s">
        <v>4445</v>
      </c>
      <c r="F122" s="146">
        <v>3</v>
      </c>
      <c r="G122" s="152">
        <v>21</v>
      </c>
      <c r="H122" s="152">
        <v>21</v>
      </c>
      <c r="I122" s="152">
        <v>21</v>
      </c>
      <c r="J122" s="147" t="s">
        <v>4473</v>
      </c>
    </row>
    <row r="123" spans="3:10" hidden="1" x14ac:dyDescent="0.25">
      <c r="C123" s="149" t="s">
        <v>4474</v>
      </c>
      <c r="D123" s="149" t="s">
        <v>4448</v>
      </c>
      <c r="E123" s="150" t="s">
        <v>4445</v>
      </c>
      <c r="F123" s="150">
        <v>3</v>
      </c>
      <c r="G123" s="151">
        <f>G122</f>
        <v>21</v>
      </c>
      <c r="H123" s="151">
        <f t="shared" ref="H123:I123" si="26">H122</f>
        <v>21</v>
      </c>
      <c r="I123" s="151">
        <f t="shared" si="26"/>
        <v>21</v>
      </c>
      <c r="J123" s="147" t="s">
        <v>4475</v>
      </c>
    </row>
    <row r="124" spans="3:10" hidden="1" x14ac:dyDescent="0.25">
      <c r="C124" s="245" t="s">
        <v>4453</v>
      </c>
      <c r="D124" s="144" t="s">
        <v>4476</v>
      </c>
      <c r="E124" s="145" t="s">
        <v>4445</v>
      </c>
      <c r="F124" s="146">
        <v>3</v>
      </c>
      <c r="G124" s="152">
        <v>289.83551359999996</v>
      </c>
      <c r="H124" s="152">
        <v>289.83551359999996</v>
      </c>
      <c r="I124" s="152">
        <v>289.83551359999996</v>
      </c>
      <c r="J124" s="147" t="s">
        <v>4477</v>
      </c>
    </row>
    <row r="125" spans="3:10" hidden="1" x14ac:dyDescent="0.25">
      <c r="C125" s="247"/>
      <c r="D125" s="144" t="s">
        <v>4478</v>
      </c>
      <c r="E125" s="145" t="s">
        <v>4445</v>
      </c>
      <c r="F125" s="146">
        <v>3</v>
      </c>
      <c r="G125" s="152">
        <v>199</v>
      </c>
      <c r="H125" s="152">
        <v>199</v>
      </c>
      <c r="I125" s="152">
        <v>199</v>
      </c>
      <c r="J125" s="147"/>
    </row>
    <row r="126" spans="3:10" ht="15.75" hidden="1" thickBot="1" x14ac:dyDescent="0.3">
      <c r="C126" s="164" t="s">
        <v>4479</v>
      </c>
      <c r="D126" s="164" t="s">
        <v>4480</v>
      </c>
      <c r="E126" s="165" t="s">
        <v>4445</v>
      </c>
      <c r="F126" s="165">
        <v>3</v>
      </c>
      <c r="G126" s="165">
        <f>1/2*($P$46*G124+$P$47*G125)</f>
        <v>0</v>
      </c>
      <c r="H126" s="165">
        <f>1/2*($P$46*H124+$P$47*H125)</f>
        <v>0</v>
      </c>
      <c r="I126" s="165">
        <f>1/2*($P$46*I124+$P$47*I125)</f>
        <v>0</v>
      </c>
      <c r="J126" s="65"/>
    </row>
    <row r="127" spans="3:10" hidden="1" x14ac:dyDescent="0.25"/>
    <row r="128" spans="3: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sheetData>
  <mergeCells count="45">
    <mergeCell ref="C5:C6"/>
    <mergeCell ref="G58:H58"/>
    <mergeCell ref="G50:H50"/>
    <mergeCell ref="G51:H51"/>
    <mergeCell ref="G52:H52"/>
    <mergeCell ref="G56:H56"/>
    <mergeCell ref="G57:H57"/>
    <mergeCell ref="C16:D16"/>
    <mergeCell ref="D7:E8"/>
    <mergeCell ref="H5:I5"/>
    <mergeCell ref="H6:I6"/>
    <mergeCell ref="H7:I7"/>
    <mergeCell ref="G8:I8"/>
    <mergeCell ref="D1:H1"/>
    <mergeCell ref="B42:J42"/>
    <mergeCell ref="C34:E34"/>
    <mergeCell ref="C36:E36"/>
    <mergeCell ref="C38:E38"/>
    <mergeCell ref="G28:I28"/>
    <mergeCell ref="G30:I30"/>
    <mergeCell ref="G32:I32"/>
    <mergeCell ref="G34:I34"/>
    <mergeCell ref="G36:I36"/>
    <mergeCell ref="G38:I38"/>
    <mergeCell ref="C28:E28"/>
    <mergeCell ref="C30:E30"/>
    <mergeCell ref="C32:E32"/>
    <mergeCell ref="C4:I4"/>
    <mergeCell ref="D5:E6"/>
    <mergeCell ref="C109:C111"/>
    <mergeCell ref="C113:C116"/>
    <mergeCell ref="C124:C125"/>
    <mergeCell ref="E47:H47"/>
    <mergeCell ref="C7:C8"/>
    <mergeCell ref="D44:I45"/>
    <mergeCell ref="C11:I12"/>
    <mergeCell ref="C26:I26"/>
    <mergeCell ref="G19:I19"/>
    <mergeCell ref="C10:I10"/>
    <mergeCell ref="C14:E14"/>
    <mergeCell ref="C19:E19"/>
    <mergeCell ref="G14:I14"/>
    <mergeCell ref="C17:D17"/>
    <mergeCell ref="G17:H17"/>
    <mergeCell ref="G16:H16"/>
  </mergeCells>
  <dataValidations count="1">
    <dataValidation type="list" showInputMessage="1" showErrorMessage="1" sqref="D1:H1">
      <formula1>PropertyDropdown</formula1>
    </dataValidation>
  </dataValidations>
  <pageMargins left="0.7" right="0.7" top="0.75" bottom="0.75" header="0.3" footer="0.3"/>
  <pageSetup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550"/>
  <sheetViews>
    <sheetView workbookViewId="0">
      <pane ySplit="3" topLeftCell="A4" activePane="bottomLeft" state="frozen"/>
      <selection pane="bottomLeft"/>
    </sheetView>
  </sheetViews>
  <sheetFormatPr defaultColWidth="30.42578125" defaultRowHeight="15" x14ac:dyDescent="0.25"/>
  <cols>
    <col min="2" max="2" width="15.7109375" customWidth="1"/>
    <col min="3" max="3" width="29.42578125" customWidth="1"/>
    <col min="4" max="5" width="13.140625" customWidth="1"/>
    <col min="6" max="6" width="13.7109375" customWidth="1"/>
    <col min="7" max="8" width="9.5703125" customWidth="1"/>
    <col min="9" max="9" width="19.7109375" customWidth="1"/>
    <col min="10" max="11" width="12" customWidth="1"/>
    <col min="12" max="13" width="12.5703125" customWidth="1"/>
    <col min="14" max="16" width="14.5703125" customWidth="1"/>
    <col min="17" max="19" width="13.28515625" customWidth="1"/>
    <col min="20" max="114" width="11.5703125" customWidth="1"/>
  </cols>
  <sheetData>
    <row r="1" spans="1:49" ht="16.5" x14ac:dyDescent="0.3">
      <c r="A1" s="210" t="s">
        <v>4561</v>
      </c>
      <c r="B1" s="211"/>
      <c r="C1" s="212"/>
      <c r="E1" s="213"/>
    </row>
    <row r="2" spans="1:49" x14ac:dyDescent="0.25">
      <c r="A2" s="215"/>
      <c r="J2" s="230" t="s">
        <v>4558</v>
      </c>
      <c r="K2" s="231"/>
      <c r="L2" s="231"/>
      <c r="M2" s="231"/>
      <c r="N2" s="231"/>
      <c r="O2" s="232" t="s">
        <v>4558</v>
      </c>
      <c r="P2" s="231"/>
      <c r="Q2" s="231"/>
      <c r="R2" s="231"/>
      <c r="S2" s="231"/>
      <c r="T2" s="232" t="s">
        <v>4558</v>
      </c>
      <c r="U2" s="231"/>
      <c r="V2" s="231"/>
      <c r="W2" s="231"/>
      <c r="X2" s="231"/>
      <c r="Y2" s="231"/>
      <c r="Z2" s="232" t="s">
        <v>4558</v>
      </c>
      <c r="AA2" s="231"/>
      <c r="AB2" s="231"/>
      <c r="AC2" s="231"/>
      <c r="AD2" s="231"/>
      <c r="AE2" s="231"/>
      <c r="AF2" s="232" t="s">
        <v>4558</v>
      </c>
      <c r="AG2" s="231"/>
      <c r="AH2" s="231"/>
      <c r="AI2" s="231"/>
      <c r="AJ2" s="231"/>
      <c r="AK2" s="231"/>
      <c r="AL2" s="232" t="s">
        <v>4558</v>
      </c>
      <c r="AM2" s="231"/>
      <c r="AN2" s="231"/>
      <c r="AO2" s="231"/>
      <c r="AP2" s="231"/>
      <c r="AQ2" s="231"/>
      <c r="AR2" s="232" t="s">
        <v>4558</v>
      </c>
      <c r="AS2" s="231"/>
      <c r="AT2" s="231"/>
      <c r="AU2" s="231"/>
      <c r="AV2" s="231"/>
      <c r="AW2" s="233"/>
    </row>
    <row r="3" spans="1:49" s="6" customFormat="1" ht="41.25" customHeight="1" x14ac:dyDescent="0.25">
      <c r="A3" s="6" t="s">
        <v>4503</v>
      </c>
      <c r="B3" s="6" t="s">
        <v>4502</v>
      </c>
      <c r="C3" s="7" t="s">
        <v>2</v>
      </c>
      <c r="D3" s="7" t="s">
        <v>4</v>
      </c>
      <c r="E3" s="7" t="s">
        <v>5</v>
      </c>
      <c r="F3" s="7" t="s">
        <v>4504</v>
      </c>
      <c r="G3" s="86" t="s">
        <v>4507</v>
      </c>
      <c r="H3" s="86" t="s">
        <v>4508</v>
      </c>
      <c r="I3" s="86" t="s">
        <v>4509</v>
      </c>
      <c r="J3" s="216" t="s">
        <v>4510</v>
      </c>
      <c r="K3" s="216" t="s">
        <v>4511</v>
      </c>
      <c r="L3" s="217" t="s">
        <v>4512</v>
      </c>
      <c r="M3" s="217" t="s">
        <v>4513</v>
      </c>
      <c r="N3" s="218" t="s">
        <v>4514</v>
      </c>
      <c r="O3" s="218" t="s">
        <v>4515</v>
      </c>
      <c r="P3" s="218" t="s">
        <v>4516</v>
      </c>
      <c r="Q3" s="218" t="s">
        <v>4517</v>
      </c>
      <c r="R3" s="218" t="s">
        <v>4518</v>
      </c>
      <c r="S3" s="218" t="s">
        <v>4519</v>
      </c>
      <c r="T3" s="220" t="s">
        <v>4520</v>
      </c>
      <c r="U3" s="220" t="s">
        <v>4521</v>
      </c>
      <c r="V3" s="220" t="s">
        <v>4522</v>
      </c>
      <c r="W3" s="220" t="s">
        <v>4523</v>
      </c>
      <c r="X3" s="220" t="s">
        <v>4524</v>
      </c>
      <c r="Y3" s="220" t="s">
        <v>4525</v>
      </c>
      <c r="Z3" s="220" t="s">
        <v>4526</v>
      </c>
      <c r="AA3" s="220" t="s">
        <v>4527</v>
      </c>
      <c r="AB3" s="220" t="s">
        <v>4528</v>
      </c>
      <c r="AC3" s="220" t="s">
        <v>4529</v>
      </c>
      <c r="AD3" s="220" t="s">
        <v>4530</v>
      </c>
      <c r="AE3" s="220" t="s">
        <v>4531</v>
      </c>
      <c r="AF3" s="220" t="s">
        <v>4532</v>
      </c>
      <c r="AG3" s="220" t="s">
        <v>4533</v>
      </c>
      <c r="AH3" s="220" t="s">
        <v>4534</v>
      </c>
      <c r="AI3" s="219" t="s">
        <v>4535</v>
      </c>
      <c r="AJ3" s="219" t="s">
        <v>4536</v>
      </c>
      <c r="AK3" s="219" t="s">
        <v>4537</v>
      </c>
      <c r="AL3" s="219" t="s">
        <v>4538</v>
      </c>
      <c r="AM3" s="219" t="s">
        <v>4539</v>
      </c>
      <c r="AN3" s="219" t="s">
        <v>4540</v>
      </c>
      <c r="AO3" s="219" t="s">
        <v>4541</v>
      </c>
      <c r="AP3" s="219" t="s">
        <v>4542</v>
      </c>
      <c r="AQ3" s="219" t="s">
        <v>4543</v>
      </c>
      <c r="AR3" s="219" t="s">
        <v>4544</v>
      </c>
      <c r="AS3" s="219" t="s">
        <v>4545</v>
      </c>
      <c r="AT3" s="219" t="s">
        <v>4546</v>
      </c>
      <c r="AU3" s="219" t="s">
        <v>4547</v>
      </c>
      <c r="AV3" s="219" t="s">
        <v>4548</v>
      </c>
      <c r="AW3" s="219" t="s">
        <v>4549</v>
      </c>
    </row>
    <row r="4" spans="1:49" x14ac:dyDescent="0.25">
      <c r="A4">
        <v>4228</v>
      </c>
      <c r="B4" s="35">
        <v>4233</v>
      </c>
      <c r="C4" s="36" t="s">
        <v>249</v>
      </c>
      <c r="D4" s="36" t="s">
        <v>57</v>
      </c>
      <c r="E4" s="36" t="s">
        <v>233</v>
      </c>
      <c r="F4" s="36">
        <v>1</v>
      </c>
      <c r="G4" s="206" t="s">
        <v>4562</v>
      </c>
      <c r="H4" s="206" t="s">
        <v>4563</v>
      </c>
      <c r="I4" s="206" t="s">
        <v>4559</v>
      </c>
      <c r="J4" s="221" t="s">
        <v>4560</v>
      </c>
      <c r="K4" s="222" t="s">
        <v>4560</v>
      </c>
      <c r="L4" s="221">
        <v>171924</v>
      </c>
      <c r="M4" s="222">
        <v>4478.7999999999993</v>
      </c>
      <c r="N4" s="221">
        <v>526</v>
      </c>
      <c r="O4" s="221">
        <v>802</v>
      </c>
      <c r="P4" s="221">
        <v>584</v>
      </c>
      <c r="Q4" s="221">
        <v>1983.68</v>
      </c>
      <c r="R4" s="221">
        <v>2801.28</v>
      </c>
      <c r="S4" s="221">
        <v>2008.2</v>
      </c>
      <c r="T4" s="221" t="s">
        <v>4560</v>
      </c>
      <c r="U4" s="221" t="s">
        <v>4560</v>
      </c>
      <c r="V4" s="221" t="s">
        <v>4560</v>
      </c>
      <c r="W4" s="221" t="s">
        <v>4560</v>
      </c>
      <c r="X4" s="221">
        <v>0.38399999999999995</v>
      </c>
      <c r="Y4" s="221" t="s">
        <v>4560</v>
      </c>
      <c r="Z4" s="221" t="s">
        <v>4560</v>
      </c>
      <c r="AA4" s="221" t="s">
        <v>4560</v>
      </c>
      <c r="AB4" s="221" t="s">
        <v>4560</v>
      </c>
      <c r="AC4" s="221" t="s">
        <v>4560</v>
      </c>
      <c r="AD4" s="221" t="s">
        <v>4560</v>
      </c>
      <c r="AE4" s="221" t="s">
        <v>4560</v>
      </c>
      <c r="AF4" s="221" t="s">
        <v>4560</v>
      </c>
      <c r="AG4" s="221" t="s">
        <v>4560</v>
      </c>
      <c r="AH4" s="221" t="s">
        <v>4560</v>
      </c>
      <c r="AI4" s="221" t="s">
        <v>4560</v>
      </c>
      <c r="AJ4" s="221" t="s">
        <v>4560</v>
      </c>
      <c r="AK4" s="221" t="s">
        <v>4560</v>
      </c>
      <c r="AL4" s="221" t="s">
        <v>4560</v>
      </c>
      <c r="AM4" s="221">
        <v>69.818181818181813</v>
      </c>
      <c r="AN4" s="221" t="s">
        <v>4560</v>
      </c>
      <c r="AO4" s="221" t="s">
        <v>4560</v>
      </c>
      <c r="AP4" s="221" t="s">
        <v>4560</v>
      </c>
      <c r="AQ4" s="221" t="s">
        <v>4560</v>
      </c>
      <c r="AR4" s="221" t="s">
        <v>4560</v>
      </c>
      <c r="AS4" s="221" t="s">
        <v>4560</v>
      </c>
      <c r="AT4" s="221" t="s">
        <v>4560</v>
      </c>
      <c r="AU4" s="221" t="s">
        <v>4560</v>
      </c>
      <c r="AV4" s="221" t="s">
        <v>4560</v>
      </c>
      <c r="AW4" s="221" t="s">
        <v>4560</v>
      </c>
    </row>
    <row r="5" spans="1:49" x14ac:dyDescent="0.25">
      <c r="A5">
        <v>4233</v>
      </c>
      <c r="B5" s="35"/>
      <c r="C5" s="214" t="s">
        <v>4560</v>
      </c>
      <c r="D5" s="36" t="s">
        <v>4560</v>
      </c>
      <c r="E5" s="36" t="s">
        <v>4560</v>
      </c>
      <c r="F5" s="214" t="s">
        <v>4564</v>
      </c>
      <c r="G5" s="206" t="s">
        <v>352</v>
      </c>
      <c r="H5" s="206" t="s">
        <v>4562</v>
      </c>
      <c r="I5" s="206" t="s">
        <v>4562</v>
      </c>
      <c r="J5" s="221" t="s">
        <v>4560</v>
      </c>
      <c r="K5" s="222" t="s">
        <v>4560</v>
      </c>
      <c r="L5" s="221" t="s">
        <v>4560</v>
      </c>
      <c r="M5" s="222" t="s">
        <v>4560</v>
      </c>
      <c r="N5" s="221" t="s">
        <v>4560</v>
      </c>
      <c r="O5" s="221" t="s">
        <v>4560</v>
      </c>
      <c r="P5" s="221" t="s">
        <v>4560</v>
      </c>
      <c r="Q5" s="221" t="s">
        <v>4560</v>
      </c>
      <c r="R5" s="221" t="s">
        <v>4560</v>
      </c>
      <c r="S5" s="221" t="s">
        <v>4560</v>
      </c>
      <c r="T5" s="221" t="s">
        <v>4560</v>
      </c>
      <c r="U5" s="221" t="s">
        <v>4560</v>
      </c>
      <c r="V5" s="221" t="s">
        <v>4560</v>
      </c>
      <c r="W5" s="221" t="s">
        <v>4560</v>
      </c>
      <c r="X5" s="221" t="s">
        <v>4560</v>
      </c>
      <c r="Y5" s="221" t="s">
        <v>4560</v>
      </c>
      <c r="Z5" s="221" t="s">
        <v>4560</v>
      </c>
      <c r="AA5" s="221" t="s">
        <v>4560</v>
      </c>
      <c r="AB5" s="221" t="s">
        <v>4560</v>
      </c>
      <c r="AC5" s="221" t="s">
        <v>4560</v>
      </c>
      <c r="AD5" s="221" t="s">
        <v>4560</v>
      </c>
      <c r="AE5" s="221" t="s">
        <v>4560</v>
      </c>
      <c r="AF5" s="221" t="s">
        <v>4560</v>
      </c>
      <c r="AG5" s="221" t="s">
        <v>4560</v>
      </c>
      <c r="AH5" s="221" t="s">
        <v>4560</v>
      </c>
      <c r="AI5" s="221" t="s">
        <v>4560</v>
      </c>
      <c r="AJ5" s="221" t="s">
        <v>4560</v>
      </c>
      <c r="AK5" s="221" t="s">
        <v>4560</v>
      </c>
      <c r="AL5" s="221" t="s">
        <v>4560</v>
      </c>
      <c r="AM5" s="221" t="s">
        <v>4560</v>
      </c>
      <c r="AN5" s="221" t="s">
        <v>4560</v>
      </c>
      <c r="AO5" s="221" t="s">
        <v>4560</v>
      </c>
      <c r="AP5" s="221" t="s">
        <v>4560</v>
      </c>
      <c r="AQ5" s="221" t="s">
        <v>4560</v>
      </c>
      <c r="AR5" s="221" t="s">
        <v>4560</v>
      </c>
      <c r="AS5" s="221" t="s">
        <v>4560</v>
      </c>
      <c r="AT5" s="221" t="s">
        <v>4560</v>
      </c>
      <c r="AU5" s="221" t="s">
        <v>4560</v>
      </c>
      <c r="AV5" s="221" t="s">
        <v>4560</v>
      </c>
      <c r="AW5" s="221" t="s">
        <v>4560</v>
      </c>
    </row>
    <row r="6" spans="1:49" x14ac:dyDescent="0.25">
      <c r="A6">
        <v>4235</v>
      </c>
      <c r="B6" s="35"/>
      <c r="C6" s="214" t="s">
        <v>4560</v>
      </c>
      <c r="D6" s="36" t="s">
        <v>4560</v>
      </c>
      <c r="E6" s="36" t="s">
        <v>4560</v>
      </c>
      <c r="F6" s="214" t="s">
        <v>4564</v>
      </c>
      <c r="G6" s="206" t="s">
        <v>352</v>
      </c>
      <c r="H6" s="206" t="s">
        <v>4562</v>
      </c>
      <c r="I6" s="206" t="s">
        <v>4562</v>
      </c>
      <c r="J6" s="221" t="s">
        <v>4560</v>
      </c>
      <c r="K6" s="222" t="s">
        <v>4560</v>
      </c>
      <c r="L6" s="221" t="s">
        <v>4560</v>
      </c>
      <c r="M6" s="222" t="s">
        <v>4560</v>
      </c>
      <c r="N6" s="221" t="s">
        <v>4560</v>
      </c>
      <c r="O6" s="221" t="s">
        <v>4560</v>
      </c>
      <c r="P6" s="221" t="s">
        <v>4560</v>
      </c>
      <c r="Q6" s="221" t="s">
        <v>4560</v>
      </c>
      <c r="R6" s="221" t="s">
        <v>4560</v>
      </c>
      <c r="S6" s="221" t="s">
        <v>4560</v>
      </c>
      <c r="T6" s="221" t="s">
        <v>4560</v>
      </c>
      <c r="U6" s="221" t="s">
        <v>4560</v>
      </c>
      <c r="V6" s="221" t="s">
        <v>4560</v>
      </c>
      <c r="W6" s="221" t="s">
        <v>4560</v>
      </c>
      <c r="X6" s="221" t="s">
        <v>4560</v>
      </c>
      <c r="Y6" s="221" t="s">
        <v>4560</v>
      </c>
      <c r="Z6" s="221" t="s">
        <v>4560</v>
      </c>
      <c r="AA6" s="221" t="s">
        <v>4560</v>
      </c>
      <c r="AB6" s="221" t="s">
        <v>4560</v>
      </c>
      <c r="AC6" s="221" t="s">
        <v>4560</v>
      </c>
      <c r="AD6" s="221" t="s">
        <v>4560</v>
      </c>
      <c r="AE6" s="221" t="s">
        <v>4560</v>
      </c>
      <c r="AF6" s="221" t="s">
        <v>4560</v>
      </c>
      <c r="AG6" s="221" t="s">
        <v>4560</v>
      </c>
      <c r="AH6" s="221" t="s">
        <v>4560</v>
      </c>
      <c r="AI6" s="221" t="s">
        <v>4560</v>
      </c>
      <c r="AJ6" s="221" t="s">
        <v>4560</v>
      </c>
      <c r="AK6" s="221" t="s">
        <v>4560</v>
      </c>
      <c r="AL6" s="221" t="s">
        <v>4560</v>
      </c>
      <c r="AM6" s="221" t="s">
        <v>4560</v>
      </c>
      <c r="AN6" s="221" t="s">
        <v>4560</v>
      </c>
      <c r="AO6" s="221" t="s">
        <v>4560</v>
      </c>
      <c r="AP6" s="221" t="s">
        <v>4560</v>
      </c>
      <c r="AQ6" s="221" t="s">
        <v>4560</v>
      </c>
      <c r="AR6" s="221" t="s">
        <v>4560</v>
      </c>
      <c r="AS6" s="221" t="s">
        <v>4560</v>
      </c>
      <c r="AT6" s="221" t="s">
        <v>4560</v>
      </c>
      <c r="AU6" s="221" t="s">
        <v>4560</v>
      </c>
      <c r="AV6" s="221" t="s">
        <v>4560</v>
      </c>
      <c r="AW6" s="221" t="s">
        <v>4560</v>
      </c>
    </row>
    <row r="7" spans="1:49" x14ac:dyDescent="0.25">
      <c r="A7">
        <v>4242</v>
      </c>
      <c r="B7" s="35"/>
      <c r="C7" s="214" t="s">
        <v>4560</v>
      </c>
      <c r="D7" s="36" t="s">
        <v>4560</v>
      </c>
      <c r="E7" s="36" t="s">
        <v>4560</v>
      </c>
      <c r="F7" s="36" t="s">
        <v>4564</v>
      </c>
      <c r="G7" s="206" t="s">
        <v>352</v>
      </c>
      <c r="H7" s="206" t="s">
        <v>4562</v>
      </c>
      <c r="I7" s="206" t="s">
        <v>4562</v>
      </c>
      <c r="J7" s="221" t="s">
        <v>4560</v>
      </c>
      <c r="K7" s="222" t="s">
        <v>4560</v>
      </c>
      <c r="L7" s="221" t="s">
        <v>4560</v>
      </c>
      <c r="M7" s="222" t="s">
        <v>4560</v>
      </c>
      <c r="N7" s="221" t="s">
        <v>4560</v>
      </c>
      <c r="O7" s="221" t="s">
        <v>4560</v>
      </c>
      <c r="P7" s="221" t="s">
        <v>4560</v>
      </c>
      <c r="Q7" s="221" t="s">
        <v>4560</v>
      </c>
      <c r="R7" s="221" t="s">
        <v>4560</v>
      </c>
      <c r="S7" s="221" t="s">
        <v>4560</v>
      </c>
      <c r="T7" s="221" t="s">
        <v>4560</v>
      </c>
      <c r="U7" s="221" t="s">
        <v>4560</v>
      </c>
      <c r="V7" s="221" t="s">
        <v>4560</v>
      </c>
      <c r="W7" s="221" t="s">
        <v>4560</v>
      </c>
      <c r="X7" s="221" t="s">
        <v>4560</v>
      </c>
      <c r="Y7" s="221" t="s">
        <v>4560</v>
      </c>
      <c r="Z7" s="221" t="s">
        <v>4560</v>
      </c>
      <c r="AA7" s="221" t="s">
        <v>4560</v>
      </c>
      <c r="AB7" s="221" t="s">
        <v>4560</v>
      </c>
      <c r="AC7" s="221" t="s">
        <v>4560</v>
      </c>
      <c r="AD7" s="221" t="s">
        <v>4560</v>
      </c>
      <c r="AE7" s="221" t="s">
        <v>4560</v>
      </c>
      <c r="AF7" s="221" t="s">
        <v>4560</v>
      </c>
      <c r="AG7" s="221" t="s">
        <v>4560</v>
      </c>
      <c r="AH7" s="221" t="s">
        <v>4560</v>
      </c>
      <c r="AI7" s="221" t="s">
        <v>4560</v>
      </c>
      <c r="AJ7" s="221" t="s">
        <v>4560</v>
      </c>
      <c r="AK7" s="221" t="s">
        <v>4560</v>
      </c>
      <c r="AL7" s="221" t="s">
        <v>4560</v>
      </c>
      <c r="AM7" s="221" t="s">
        <v>4560</v>
      </c>
      <c r="AN7" s="221" t="s">
        <v>4560</v>
      </c>
      <c r="AO7" s="221" t="s">
        <v>4560</v>
      </c>
      <c r="AP7" s="221" t="s">
        <v>4560</v>
      </c>
      <c r="AQ7" s="221" t="s">
        <v>4560</v>
      </c>
      <c r="AR7" s="221" t="s">
        <v>4560</v>
      </c>
      <c r="AS7" s="221" t="s">
        <v>4560</v>
      </c>
      <c r="AT7" s="221" t="s">
        <v>4560</v>
      </c>
      <c r="AU7" s="221" t="s">
        <v>4560</v>
      </c>
      <c r="AV7" s="221" t="s">
        <v>4560</v>
      </c>
      <c r="AW7" s="221" t="s">
        <v>4560</v>
      </c>
    </row>
    <row r="8" spans="1:49" x14ac:dyDescent="0.25">
      <c r="B8" s="35"/>
      <c r="C8" s="214"/>
      <c r="D8" s="36"/>
      <c r="E8" s="36"/>
      <c r="F8" s="214"/>
      <c r="G8" s="206"/>
      <c r="H8" s="206"/>
      <c r="I8" s="206"/>
      <c r="J8" s="221"/>
      <c r="K8" s="222"/>
      <c r="L8" s="221"/>
      <c r="M8" s="222"/>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row>
    <row r="9" spans="1:49" x14ac:dyDescent="0.25">
      <c r="B9" s="35"/>
      <c r="C9" s="214"/>
      <c r="D9" s="36"/>
      <c r="E9" s="36"/>
      <c r="F9" s="214"/>
      <c r="G9" s="206"/>
      <c r="H9" s="206"/>
      <c r="I9" s="206"/>
      <c r="J9" s="221"/>
      <c r="K9" s="222"/>
      <c r="L9" s="221"/>
      <c r="M9" s="222"/>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row>
    <row r="10" spans="1:49" x14ac:dyDescent="0.25">
      <c r="B10" s="35"/>
      <c r="C10" s="214"/>
      <c r="D10" s="36"/>
      <c r="E10" s="36"/>
      <c r="F10" s="36"/>
      <c r="G10" s="206"/>
      <c r="H10" s="206"/>
      <c r="I10" s="206"/>
      <c r="J10" s="221"/>
      <c r="K10" s="222"/>
      <c r="L10" s="221"/>
      <c r="M10" s="222"/>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row>
    <row r="11" spans="1:49" x14ac:dyDescent="0.25">
      <c r="B11" s="35"/>
      <c r="C11" s="214"/>
      <c r="D11" s="36"/>
      <c r="E11" s="36"/>
      <c r="F11" s="214"/>
      <c r="G11" s="206"/>
      <c r="H11" s="206"/>
      <c r="I11" s="206"/>
      <c r="J11" s="221"/>
      <c r="K11" s="222"/>
      <c r="L11" s="221"/>
      <c r="M11" s="222"/>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row>
    <row r="12" spans="1:49" x14ac:dyDescent="0.25">
      <c r="B12" s="35"/>
      <c r="C12" s="214"/>
      <c r="D12" s="36"/>
      <c r="E12" s="36"/>
      <c r="F12" s="214"/>
      <c r="G12" s="206"/>
      <c r="H12" s="206"/>
      <c r="I12" s="206"/>
      <c r="J12" s="221"/>
      <c r="K12" s="222"/>
      <c r="L12" s="221"/>
      <c r="M12" s="222"/>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row>
    <row r="13" spans="1:49" x14ac:dyDescent="0.25">
      <c r="B13" s="35"/>
      <c r="C13" s="214"/>
      <c r="D13" s="36"/>
      <c r="E13" s="36"/>
      <c r="F13" s="36"/>
      <c r="G13" s="206"/>
      <c r="H13" s="206"/>
      <c r="I13" s="206"/>
      <c r="J13" s="221"/>
      <c r="K13" s="222"/>
      <c r="L13" s="221"/>
      <c r="M13" s="222"/>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row>
    <row r="14" spans="1:49" x14ac:dyDescent="0.25">
      <c r="B14" s="35"/>
      <c r="C14" s="214"/>
      <c r="D14" s="36"/>
      <c r="E14" s="36"/>
      <c r="F14" s="214"/>
      <c r="G14" s="206"/>
      <c r="H14" s="206"/>
      <c r="I14" s="206"/>
      <c r="J14" s="221"/>
      <c r="K14" s="222"/>
      <c r="L14" s="221"/>
      <c r="M14" s="222"/>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row>
    <row r="15" spans="1:49" x14ac:dyDescent="0.25">
      <c r="B15" s="35"/>
      <c r="C15" s="214"/>
      <c r="D15" s="36"/>
      <c r="E15" s="36"/>
      <c r="F15" s="214"/>
      <c r="G15" s="206"/>
      <c r="H15" s="206"/>
      <c r="I15" s="206"/>
      <c r="J15" s="221"/>
      <c r="K15" s="222"/>
      <c r="L15" s="221"/>
      <c r="M15" s="222"/>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row>
    <row r="16" spans="1:49" x14ac:dyDescent="0.25">
      <c r="B16" s="35"/>
      <c r="C16" s="214"/>
      <c r="D16" s="36"/>
      <c r="E16" s="36"/>
      <c r="F16" s="36"/>
      <c r="G16" s="206"/>
      <c r="H16" s="206"/>
      <c r="I16" s="206"/>
      <c r="J16" s="221"/>
      <c r="K16" s="222"/>
      <c r="L16" s="221"/>
      <c r="M16" s="222"/>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row>
    <row r="17" spans="2:49" x14ac:dyDescent="0.25">
      <c r="B17" s="35"/>
      <c r="C17" s="214"/>
      <c r="D17" s="36"/>
      <c r="E17" s="36"/>
      <c r="F17" s="214"/>
      <c r="G17" s="206"/>
      <c r="H17" s="206"/>
      <c r="I17" s="206"/>
      <c r="J17" s="221"/>
      <c r="K17" s="222"/>
      <c r="L17" s="221"/>
      <c r="M17" s="222"/>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row>
    <row r="18" spans="2:49" x14ac:dyDescent="0.25">
      <c r="B18" s="35"/>
      <c r="C18" s="214"/>
      <c r="D18" s="36"/>
      <c r="E18" s="36"/>
      <c r="F18" s="214"/>
      <c r="G18" s="206"/>
      <c r="H18" s="206"/>
      <c r="I18" s="206"/>
      <c r="J18" s="221"/>
      <c r="K18" s="222"/>
      <c r="L18" s="221"/>
      <c r="M18" s="222"/>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row>
    <row r="19" spans="2:49" x14ac:dyDescent="0.25">
      <c r="B19" s="35"/>
      <c r="C19" s="214"/>
      <c r="D19" s="36"/>
      <c r="E19" s="36"/>
      <c r="F19" s="36"/>
      <c r="G19" s="206"/>
      <c r="H19" s="206"/>
      <c r="I19" s="206"/>
      <c r="J19" s="221"/>
      <c r="K19" s="222"/>
      <c r="L19" s="221"/>
      <c r="M19" s="222"/>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row>
    <row r="20" spans="2:49" x14ac:dyDescent="0.25">
      <c r="B20" s="35"/>
      <c r="C20" s="214"/>
      <c r="D20" s="36"/>
      <c r="E20" s="36"/>
      <c r="F20" s="36"/>
      <c r="G20" s="206"/>
      <c r="H20" s="206"/>
      <c r="I20" s="206"/>
      <c r="J20" s="221"/>
      <c r="K20" s="222"/>
      <c r="L20" s="221"/>
      <c r="M20" s="222"/>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row>
    <row r="21" spans="2:49" x14ac:dyDescent="0.25">
      <c r="C21" s="214"/>
      <c r="D21" s="36"/>
      <c r="E21" s="36"/>
      <c r="F21" s="214"/>
      <c r="G21" s="206"/>
      <c r="H21" s="206"/>
      <c r="I21" s="206"/>
      <c r="J21" s="221"/>
      <c r="K21" s="222"/>
      <c r="L21" s="221"/>
      <c r="M21" s="222"/>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row>
    <row r="22" spans="2:49" x14ac:dyDescent="0.25">
      <c r="C22" s="214"/>
      <c r="D22" s="36"/>
      <c r="E22" s="36"/>
      <c r="F22" s="36"/>
      <c r="G22" s="206"/>
      <c r="H22" s="206"/>
      <c r="I22" s="206"/>
      <c r="J22" s="221"/>
      <c r="K22" s="222"/>
      <c r="L22" s="221"/>
      <c r="M22" s="222"/>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row>
    <row r="23" spans="2:49" x14ac:dyDescent="0.25">
      <c r="C23" s="214"/>
      <c r="D23" s="36"/>
      <c r="E23" s="36"/>
      <c r="F23" s="214"/>
      <c r="G23" s="206"/>
      <c r="H23" s="206"/>
      <c r="I23" s="206"/>
      <c r="J23" s="221"/>
      <c r="K23" s="222"/>
      <c r="L23" s="221"/>
      <c r="M23" s="222"/>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row>
    <row r="24" spans="2:49" x14ac:dyDescent="0.25">
      <c r="C24" s="214"/>
      <c r="D24" s="36"/>
      <c r="E24" s="36"/>
      <c r="F24" s="214"/>
      <c r="G24" s="206"/>
      <c r="H24" s="206"/>
      <c r="I24" s="206"/>
      <c r="J24" s="221"/>
      <c r="K24" s="222"/>
      <c r="L24" s="221"/>
      <c r="M24" s="222"/>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row>
    <row r="25" spans="2:49" x14ac:dyDescent="0.25">
      <c r="C25" s="214"/>
      <c r="D25" s="36"/>
      <c r="E25" s="36"/>
      <c r="F25" s="36"/>
      <c r="G25" s="206"/>
      <c r="H25" s="206"/>
      <c r="I25" s="206"/>
      <c r="J25" s="221"/>
      <c r="K25" s="222"/>
      <c r="L25" s="221"/>
      <c r="M25" s="222"/>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row>
    <row r="26" spans="2:49" x14ac:dyDescent="0.25">
      <c r="C26" s="214"/>
      <c r="D26" s="36"/>
      <c r="E26" s="36"/>
      <c r="F26" s="214"/>
      <c r="G26" s="206"/>
      <c r="H26" s="206"/>
      <c r="I26" s="206"/>
      <c r="J26" s="221"/>
      <c r="K26" s="222"/>
      <c r="L26" s="221"/>
      <c r="M26" s="222"/>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row>
    <row r="27" spans="2:49" x14ac:dyDescent="0.25">
      <c r="C27" s="214"/>
      <c r="D27" s="36"/>
      <c r="E27" s="36"/>
      <c r="F27" s="214"/>
      <c r="G27" s="206"/>
      <c r="H27" s="206"/>
      <c r="I27" s="206"/>
      <c r="J27" s="221"/>
      <c r="K27" s="222"/>
      <c r="L27" s="221"/>
      <c r="M27" s="222"/>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row>
    <row r="28" spans="2:49" x14ac:dyDescent="0.25">
      <c r="C28" s="214"/>
      <c r="D28" s="36"/>
      <c r="E28" s="36"/>
      <c r="F28" s="36"/>
      <c r="G28" s="206"/>
      <c r="H28" s="206"/>
      <c r="I28" s="206"/>
      <c r="J28" s="221"/>
      <c r="K28" s="222"/>
      <c r="L28" s="221"/>
      <c r="M28" s="222"/>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row>
    <row r="29" spans="2:49" x14ac:dyDescent="0.25">
      <c r="C29" s="214"/>
      <c r="D29" s="36"/>
      <c r="E29" s="36"/>
      <c r="F29" s="214"/>
      <c r="G29" s="206"/>
      <c r="H29" s="206"/>
      <c r="I29" s="206"/>
      <c r="J29" s="221"/>
      <c r="K29" s="222"/>
      <c r="L29" s="221"/>
      <c r="M29" s="222"/>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row>
    <row r="30" spans="2:49" x14ac:dyDescent="0.25">
      <c r="C30" s="214"/>
      <c r="D30" s="36"/>
      <c r="E30" s="36"/>
      <c r="F30" s="214"/>
      <c r="G30" s="206"/>
      <c r="H30" s="206"/>
      <c r="I30" s="206"/>
      <c r="J30" s="221"/>
      <c r="K30" s="222"/>
      <c r="L30" s="221"/>
      <c r="M30" s="222"/>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row>
    <row r="31" spans="2:49" x14ac:dyDescent="0.25">
      <c r="C31" s="214"/>
      <c r="D31" s="36"/>
      <c r="E31" s="36"/>
      <c r="F31" s="36"/>
      <c r="G31" s="206"/>
      <c r="H31" s="206"/>
      <c r="I31" s="206"/>
      <c r="J31" s="221"/>
      <c r="K31" s="222"/>
      <c r="L31" s="221"/>
      <c r="M31" s="222"/>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row>
    <row r="32" spans="2:49" x14ac:dyDescent="0.25">
      <c r="C32" s="214"/>
      <c r="D32" s="36"/>
      <c r="E32" s="36"/>
      <c r="F32" s="214"/>
      <c r="G32" s="206"/>
      <c r="H32" s="206"/>
      <c r="I32" s="206"/>
      <c r="J32" s="221"/>
      <c r="K32" s="222"/>
      <c r="L32" s="221"/>
      <c r="M32" s="222"/>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row>
    <row r="33" spans="3:49" x14ac:dyDescent="0.25">
      <c r="C33" s="214"/>
      <c r="D33" s="36"/>
      <c r="E33" s="36"/>
      <c r="F33" s="214"/>
      <c r="G33" s="206"/>
      <c r="H33" s="206"/>
      <c r="I33" s="206"/>
      <c r="J33" s="221"/>
      <c r="K33" s="222"/>
      <c r="L33" s="221"/>
      <c r="M33" s="222"/>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row>
    <row r="34" spans="3:49" x14ac:dyDescent="0.25">
      <c r="C34" s="214"/>
      <c r="D34" s="36"/>
      <c r="E34" s="36"/>
      <c r="F34" s="36"/>
      <c r="G34" s="206"/>
      <c r="H34" s="206"/>
      <c r="I34" s="206"/>
      <c r="J34" s="221"/>
      <c r="K34" s="222"/>
      <c r="L34" s="221"/>
      <c r="M34" s="222"/>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row>
    <row r="35" spans="3:49" x14ac:dyDescent="0.25">
      <c r="C35" s="214"/>
      <c r="D35" s="36"/>
      <c r="E35" s="36"/>
      <c r="F35" s="214"/>
      <c r="G35" s="206"/>
      <c r="H35" s="206"/>
      <c r="I35" s="206"/>
      <c r="J35" s="221"/>
      <c r="K35" s="222"/>
      <c r="L35" s="221"/>
      <c r="M35" s="222"/>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row>
    <row r="36" spans="3:49" x14ac:dyDescent="0.25">
      <c r="C36" s="214"/>
      <c r="D36" s="36"/>
      <c r="E36" s="36"/>
      <c r="F36" s="214"/>
      <c r="G36" s="206"/>
      <c r="H36" s="206"/>
      <c r="I36" s="206"/>
      <c r="J36" s="221"/>
      <c r="K36" s="222"/>
      <c r="L36" s="221"/>
      <c r="M36" s="222"/>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row>
    <row r="37" spans="3:49" x14ac:dyDescent="0.25">
      <c r="C37" s="214"/>
      <c r="D37" s="36"/>
      <c r="E37" s="36"/>
      <c r="F37" s="36"/>
      <c r="G37" s="206"/>
      <c r="H37" s="206"/>
      <c r="I37" s="206"/>
      <c r="J37" s="221"/>
      <c r="K37" s="222"/>
      <c r="L37" s="221"/>
      <c r="M37" s="222"/>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row>
    <row r="38" spans="3:49" x14ac:dyDescent="0.25">
      <c r="C38" s="214"/>
      <c r="D38" s="36"/>
      <c r="E38" s="36"/>
      <c r="F38" s="214"/>
      <c r="G38" s="206"/>
      <c r="H38" s="206"/>
      <c r="I38" s="206"/>
      <c r="J38" s="221"/>
      <c r="K38" s="222"/>
      <c r="L38" s="221"/>
      <c r="M38" s="222"/>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row>
    <row r="39" spans="3:49" x14ac:dyDescent="0.25">
      <c r="C39" s="214"/>
      <c r="D39" s="36"/>
      <c r="E39" s="36"/>
      <c r="F39" s="214"/>
      <c r="G39" s="206"/>
      <c r="H39" s="206"/>
      <c r="I39" s="206"/>
      <c r="J39" s="221"/>
      <c r="K39" s="222"/>
      <c r="L39" s="221"/>
      <c r="M39" s="222"/>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row>
    <row r="40" spans="3:49" x14ac:dyDescent="0.25">
      <c r="C40" s="214"/>
      <c r="D40" s="36"/>
      <c r="E40" s="36"/>
      <c r="F40" s="36"/>
      <c r="G40" s="206"/>
      <c r="H40" s="206"/>
      <c r="I40" s="206"/>
      <c r="J40" s="221"/>
      <c r="K40" s="222"/>
      <c r="L40" s="221"/>
      <c r="M40" s="222"/>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row>
    <row r="41" spans="3:49" x14ac:dyDescent="0.25">
      <c r="C41" s="214"/>
      <c r="D41" s="36"/>
      <c r="E41" s="36"/>
      <c r="F41" s="214"/>
      <c r="G41" s="206"/>
      <c r="H41" s="206"/>
      <c r="I41" s="206"/>
      <c r="J41" s="221"/>
      <c r="K41" s="222"/>
      <c r="L41" s="221"/>
      <c r="M41" s="222"/>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row>
    <row r="42" spans="3:49" x14ac:dyDescent="0.25">
      <c r="C42" s="214"/>
      <c r="D42" s="36"/>
      <c r="E42" s="36"/>
      <c r="F42" s="214"/>
      <c r="G42" s="206"/>
      <c r="H42" s="206"/>
      <c r="I42" s="206"/>
      <c r="J42" s="221"/>
      <c r="K42" s="222"/>
      <c r="L42" s="221"/>
      <c r="M42" s="222"/>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row>
    <row r="43" spans="3:49" x14ac:dyDescent="0.25">
      <c r="C43" s="214"/>
      <c r="D43" s="36"/>
      <c r="E43" s="36"/>
      <c r="F43" s="36"/>
      <c r="G43" s="206"/>
      <c r="H43" s="206"/>
      <c r="I43" s="206"/>
      <c r="J43" s="221"/>
      <c r="K43" s="222"/>
      <c r="L43" s="221"/>
      <c r="M43" s="222"/>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row>
    <row r="44" spans="3:49" x14ac:dyDescent="0.25">
      <c r="C44" s="214"/>
      <c r="D44" s="36"/>
      <c r="E44" s="36"/>
      <c r="F44" s="214"/>
      <c r="G44" s="206"/>
      <c r="H44" s="206"/>
      <c r="I44" s="206"/>
      <c r="J44" s="221"/>
      <c r="K44" s="222"/>
      <c r="L44" s="221"/>
      <c r="M44" s="222"/>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row>
    <row r="45" spans="3:49" x14ac:dyDescent="0.25">
      <c r="C45" s="214"/>
      <c r="D45" s="36"/>
      <c r="E45" s="36"/>
      <c r="F45" s="214"/>
      <c r="G45" s="206"/>
      <c r="H45" s="206"/>
      <c r="I45" s="206"/>
      <c r="J45" s="221"/>
      <c r="K45" s="222"/>
      <c r="L45" s="221"/>
      <c r="M45" s="222"/>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row>
    <row r="46" spans="3:49" x14ac:dyDescent="0.25">
      <c r="C46" s="214"/>
      <c r="D46" s="36"/>
      <c r="E46" s="36"/>
      <c r="F46" s="36"/>
      <c r="G46" s="206"/>
      <c r="H46" s="206"/>
      <c r="I46" s="206"/>
      <c r="J46" s="221"/>
      <c r="K46" s="222"/>
      <c r="L46" s="221"/>
      <c r="M46" s="222"/>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row>
    <row r="47" spans="3:49" x14ac:dyDescent="0.25">
      <c r="C47" s="214"/>
      <c r="D47" s="36"/>
      <c r="E47" s="36"/>
      <c r="F47" s="214"/>
      <c r="G47" s="206"/>
      <c r="H47" s="206"/>
      <c r="I47" s="206"/>
      <c r="J47" s="221"/>
      <c r="K47" s="222"/>
      <c r="L47" s="221"/>
      <c r="M47" s="222"/>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row>
    <row r="48" spans="3:49" x14ac:dyDescent="0.25">
      <c r="C48" s="214"/>
      <c r="D48" s="36"/>
      <c r="E48" s="36"/>
      <c r="F48" s="214"/>
      <c r="G48" s="206"/>
      <c r="H48" s="206"/>
      <c r="I48" s="206"/>
      <c r="J48" s="221"/>
      <c r="K48" s="222"/>
      <c r="L48" s="221"/>
      <c r="M48" s="222"/>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row>
    <row r="49" spans="3:49" x14ac:dyDescent="0.25">
      <c r="C49" s="214"/>
      <c r="D49" s="36"/>
      <c r="E49" s="36"/>
      <c r="F49" s="36"/>
      <c r="G49" s="206"/>
      <c r="H49" s="206"/>
      <c r="I49" s="206"/>
      <c r="J49" s="221"/>
      <c r="K49" s="222"/>
      <c r="L49" s="221"/>
      <c r="M49" s="222"/>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row>
    <row r="50" spans="3:49" x14ac:dyDescent="0.25">
      <c r="C50" s="214"/>
      <c r="D50" s="36"/>
      <c r="E50" s="36"/>
      <c r="F50" s="214"/>
      <c r="G50" s="206"/>
      <c r="H50" s="206"/>
      <c r="I50" s="206"/>
      <c r="J50" s="221"/>
      <c r="K50" s="222"/>
      <c r="L50" s="221"/>
      <c r="M50" s="222"/>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row>
    <row r="51" spans="3:49" x14ac:dyDescent="0.25">
      <c r="C51" s="214"/>
      <c r="D51" s="36"/>
      <c r="E51" s="36"/>
      <c r="F51" s="214"/>
      <c r="G51" s="206"/>
      <c r="H51" s="206"/>
      <c r="I51" s="206"/>
      <c r="J51" s="221"/>
      <c r="K51" s="222"/>
      <c r="L51" s="221"/>
      <c r="M51" s="222"/>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row>
    <row r="52" spans="3:49" x14ac:dyDescent="0.25">
      <c r="C52" s="214"/>
      <c r="D52" s="36"/>
      <c r="E52" s="36"/>
      <c r="F52" s="36"/>
      <c r="G52" s="206"/>
      <c r="H52" s="206"/>
      <c r="I52" s="206"/>
      <c r="J52" s="221"/>
      <c r="K52" s="222"/>
      <c r="L52" s="221"/>
      <c r="M52" s="222"/>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row>
    <row r="53" spans="3:49" x14ac:dyDescent="0.25">
      <c r="C53" s="214"/>
      <c r="D53" s="36"/>
      <c r="E53" s="36"/>
      <c r="F53" s="214"/>
      <c r="G53" s="206"/>
      <c r="H53" s="206"/>
      <c r="I53" s="206"/>
      <c r="J53" s="221"/>
      <c r="K53" s="222"/>
      <c r="L53" s="221"/>
      <c r="M53" s="222"/>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row>
    <row r="54" spans="3:49" x14ac:dyDescent="0.25">
      <c r="C54" s="214"/>
      <c r="D54" s="36"/>
      <c r="E54" s="36"/>
      <c r="F54" s="214"/>
      <c r="G54" s="206"/>
      <c r="H54" s="206"/>
      <c r="I54" s="206"/>
      <c r="J54" s="221"/>
      <c r="K54" s="222"/>
      <c r="L54" s="221"/>
      <c r="M54" s="222"/>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row>
    <row r="55" spans="3:49" x14ac:dyDescent="0.25">
      <c r="C55" s="214"/>
      <c r="D55" s="36"/>
      <c r="E55" s="36"/>
      <c r="F55" s="36"/>
      <c r="G55" s="206"/>
      <c r="H55" s="206"/>
      <c r="I55" s="206"/>
      <c r="J55" s="221"/>
      <c r="K55" s="222"/>
      <c r="L55" s="221"/>
      <c r="M55" s="222"/>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row>
    <row r="56" spans="3:49" x14ac:dyDescent="0.25">
      <c r="C56" s="214"/>
      <c r="D56" s="36"/>
      <c r="E56" s="36"/>
      <c r="F56" s="214"/>
      <c r="G56" s="206"/>
      <c r="H56" s="206"/>
      <c r="I56" s="206"/>
      <c r="J56" s="221"/>
      <c r="K56" s="222"/>
      <c r="L56" s="221"/>
      <c r="M56" s="222"/>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row>
    <row r="57" spans="3:49" x14ac:dyDescent="0.25">
      <c r="C57" s="214"/>
      <c r="D57" s="36"/>
      <c r="E57" s="36"/>
      <c r="F57" s="214"/>
      <c r="G57" s="206"/>
      <c r="H57" s="206"/>
      <c r="I57" s="206"/>
      <c r="J57" s="221"/>
      <c r="K57" s="222"/>
      <c r="L57" s="221"/>
      <c r="M57" s="222"/>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row>
    <row r="58" spans="3:49" x14ac:dyDescent="0.25">
      <c r="C58" s="214"/>
      <c r="D58" s="36"/>
      <c r="E58" s="36"/>
      <c r="F58" s="36"/>
      <c r="G58" s="206"/>
      <c r="H58" s="206"/>
      <c r="I58" s="206"/>
      <c r="J58" s="221"/>
      <c r="K58" s="222"/>
      <c r="L58" s="221"/>
      <c r="M58" s="222"/>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row>
    <row r="59" spans="3:49" x14ac:dyDescent="0.25">
      <c r="C59" s="214"/>
      <c r="D59" s="36"/>
      <c r="E59" s="36"/>
      <c r="F59" s="214"/>
      <c r="G59" s="206"/>
      <c r="H59" s="206"/>
      <c r="I59" s="206"/>
      <c r="J59" s="221"/>
      <c r="K59" s="222"/>
      <c r="L59" s="221"/>
      <c r="M59" s="222"/>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row>
    <row r="60" spans="3:49" x14ac:dyDescent="0.25">
      <c r="C60" s="214"/>
      <c r="D60" s="36"/>
      <c r="E60" s="36"/>
      <c r="F60" s="214"/>
      <c r="G60" s="206"/>
      <c r="H60" s="206"/>
      <c r="I60" s="206"/>
      <c r="J60" s="221"/>
      <c r="K60" s="222"/>
      <c r="L60" s="221"/>
      <c r="M60" s="222"/>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row>
    <row r="61" spans="3:49" x14ac:dyDescent="0.25">
      <c r="C61" s="214"/>
      <c r="D61" s="36"/>
      <c r="E61" s="36"/>
      <c r="F61" s="36"/>
      <c r="G61" s="206"/>
      <c r="H61" s="206"/>
      <c r="I61" s="206"/>
      <c r="J61" s="221"/>
      <c r="K61" s="222"/>
      <c r="L61" s="221"/>
      <c r="M61" s="222"/>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row>
    <row r="62" spans="3:49" x14ac:dyDescent="0.25">
      <c r="C62" s="214"/>
      <c r="D62" s="36"/>
      <c r="E62" s="36"/>
      <c r="F62" s="214"/>
      <c r="G62" s="206"/>
      <c r="H62" s="206"/>
      <c r="I62" s="206"/>
      <c r="J62" s="221"/>
      <c r="K62" s="222"/>
      <c r="L62" s="221"/>
      <c r="M62" s="222"/>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row>
    <row r="63" spans="3:49" x14ac:dyDescent="0.25">
      <c r="C63" s="214"/>
      <c r="D63" s="36"/>
      <c r="E63" s="36"/>
      <c r="F63" s="214"/>
      <c r="G63" s="206"/>
      <c r="H63" s="206"/>
      <c r="I63" s="206"/>
      <c r="J63" s="221"/>
      <c r="K63" s="222"/>
      <c r="L63" s="221"/>
      <c r="M63" s="222"/>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row>
    <row r="64" spans="3:49" x14ac:dyDescent="0.25">
      <c r="C64" s="214"/>
      <c r="D64" s="36"/>
      <c r="E64" s="36"/>
      <c r="F64" s="36"/>
      <c r="G64" s="206"/>
      <c r="H64" s="206"/>
      <c r="I64" s="206"/>
      <c r="J64" s="221"/>
      <c r="K64" s="222"/>
      <c r="L64" s="221"/>
      <c r="M64" s="222"/>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row>
    <row r="65" spans="3:49" x14ac:dyDescent="0.25">
      <c r="C65" s="214"/>
      <c r="D65" s="36"/>
      <c r="E65" s="36"/>
      <c r="F65" s="214"/>
      <c r="G65" s="206"/>
      <c r="H65" s="206"/>
      <c r="I65" s="206"/>
      <c r="J65" s="221"/>
      <c r="K65" s="222"/>
      <c r="L65" s="221"/>
      <c r="M65" s="222"/>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row>
    <row r="66" spans="3:49" x14ac:dyDescent="0.25">
      <c r="C66" s="214"/>
      <c r="D66" s="36"/>
      <c r="E66" s="36"/>
      <c r="F66" s="214"/>
      <c r="G66" s="206"/>
      <c r="H66" s="206"/>
      <c r="I66" s="206"/>
      <c r="J66" s="221"/>
      <c r="K66" s="222"/>
      <c r="L66" s="221"/>
      <c r="M66" s="222"/>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row>
    <row r="67" spans="3:49" x14ac:dyDescent="0.25">
      <c r="C67" s="214"/>
      <c r="D67" s="36"/>
      <c r="E67" s="36"/>
      <c r="F67" s="36"/>
      <c r="G67" s="206"/>
      <c r="H67" s="206"/>
      <c r="I67" s="206"/>
      <c r="J67" s="221"/>
      <c r="K67" s="222"/>
      <c r="L67" s="221"/>
      <c r="M67" s="222"/>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row>
    <row r="68" spans="3:49" x14ac:dyDescent="0.25">
      <c r="C68" s="214"/>
      <c r="D68" s="36"/>
      <c r="E68" s="36"/>
      <c r="F68" s="214"/>
      <c r="G68" s="206"/>
      <c r="H68" s="206"/>
      <c r="I68" s="206"/>
      <c r="J68" s="221"/>
      <c r="K68" s="222"/>
      <c r="L68" s="221"/>
      <c r="M68" s="222"/>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row>
    <row r="69" spans="3:49" x14ac:dyDescent="0.25">
      <c r="C69" s="214"/>
      <c r="D69" s="36"/>
      <c r="E69" s="36"/>
      <c r="F69" s="214"/>
      <c r="G69" s="206"/>
      <c r="H69" s="206"/>
      <c r="I69" s="206"/>
      <c r="J69" s="221"/>
      <c r="K69" s="222"/>
      <c r="L69" s="221"/>
      <c r="M69" s="222"/>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row>
    <row r="70" spans="3:49" x14ac:dyDescent="0.25">
      <c r="C70" s="214"/>
      <c r="D70" s="36"/>
      <c r="E70" s="36"/>
      <c r="F70" s="36"/>
      <c r="G70" s="206"/>
      <c r="H70" s="206"/>
      <c r="I70" s="206"/>
      <c r="J70" s="221"/>
      <c r="K70" s="222"/>
      <c r="L70" s="221"/>
      <c r="M70" s="222"/>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row>
    <row r="71" spans="3:49" x14ac:dyDescent="0.25">
      <c r="C71" s="214"/>
      <c r="D71" s="36"/>
      <c r="E71" s="36"/>
      <c r="F71" s="214"/>
      <c r="G71" s="206"/>
      <c r="H71" s="206"/>
      <c r="I71" s="206"/>
      <c r="J71" s="221"/>
      <c r="K71" s="222"/>
      <c r="L71" s="221"/>
      <c r="M71" s="222"/>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row>
    <row r="72" spans="3:49" x14ac:dyDescent="0.25">
      <c r="C72" s="214"/>
      <c r="D72" s="36"/>
      <c r="E72" s="36"/>
      <c r="F72" s="214"/>
      <c r="G72" s="206"/>
      <c r="H72" s="206"/>
      <c r="I72" s="206"/>
      <c r="J72" s="221"/>
      <c r="K72" s="222"/>
      <c r="L72" s="221"/>
      <c r="M72" s="222"/>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row>
    <row r="73" spans="3:49" x14ac:dyDescent="0.25">
      <c r="C73" s="214"/>
      <c r="D73" s="36"/>
      <c r="E73" s="36"/>
      <c r="F73" s="36"/>
      <c r="G73" s="206"/>
      <c r="H73" s="206"/>
      <c r="I73" s="206"/>
      <c r="J73" s="221"/>
      <c r="K73" s="222"/>
      <c r="L73" s="221"/>
      <c r="M73" s="222"/>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row>
    <row r="74" spans="3:49" x14ac:dyDescent="0.25">
      <c r="C74" s="214"/>
      <c r="D74" s="36"/>
      <c r="E74" s="36"/>
      <c r="F74" s="214"/>
      <c r="G74" s="206"/>
      <c r="H74" s="206"/>
      <c r="I74" s="206"/>
      <c r="J74" s="221"/>
      <c r="K74" s="222"/>
      <c r="L74" s="221"/>
      <c r="M74" s="222"/>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row>
    <row r="75" spans="3:49" x14ac:dyDescent="0.25">
      <c r="C75" s="214"/>
      <c r="D75" s="36"/>
      <c r="E75" s="36"/>
      <c r="F75" s="214"/>
      <c r="G75" s="206"/>
      <c r="H75" s="206"/>
      <c r="I75" s="206"/>
      <c r="J75" s="221"/>
      <c r="K75" s="222"/>
      <c r="L75" s="221"/>
      <c r="M75" s="222"/>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row>
    <row r="76" spans="3:49" x14ac:dyDescent="0.25">
      <c r="C76" s="214"/>
      <c r="D76" s="36"/>
      <c r="E76" s="36"/>
      <c r="F76" s="36"/>
      <c r="G76" s="206"/>
      <c r="H76" s="206"/>
      <c r="I76" s="206"/>
      <c r="J76" s="221"/>
      <c r="K76" s="222"/>
      <c r="L76" s="221"/>
      <c r="M76" s="222"/>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row>
    <row r="77" spans="3:49" x14ac:dyDescent="0.25">
      <c r="C77" s="214"/>
      <c r="D77" s="36"/>
      <c r="E77" s="36"/>
      <c r="F77" s="214"/>
      <c r="G77" s="206"/>
      <c r="H77" s="206"/>
      <c r="I77" s="206"/>
      <c r="J77" s="221"/>
      <c r="K77" s="222"/>
      <c r="L77" s="221"/>
      <c r="M77" s="222"/>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row>
    <row r="78" spans="3:49" x14ac:dyDescent="0.25">
      <c r="C78" s="214"/>
      <c r="D78" s="36"/>
      <c r="E78" s="36"/>
      <c r="F78" s="214"/>
      <c r="G78" s="206"/>
      <c r="H78" s="206"/>
      <c r="I78" s="206"/>
      <c r="J78" s="221"/>
      <c r="K78" s="222"/>
      <c r="L78" s="221"/>
      <c r="M78" s="222"/>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row>
    <row r="79" spans="3:49" x14ac:dyDescent="0.25">
      <c r="C79" s="214"/>
      <c r="D79" s="36"/>
      <c r="E79" s="36"/>
      <c r="F79" s="36"/>
      <c r="G79" s="206"/>
      <c r="H79" s="206"/>
      <c r="I79" s="206"/>
      <c r="J79" s="221"/>
      <c r="K79" s="222"/>
      <c r="L79" s="221"/>
      <c r="M79" s="222"/>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row>
    <row r="80" spans="3:49" x14ac:dyDescent="0.25">
      <c r="C80" s="214"/>
      <c r="D80" s="36"/>
      <c r="E80" s="36"/>
      <c r="F80" s="214"/>
      <c r="G80" s="206"/>
      <c r="H80" s="206"/>
      <c r="I80" s="206"/>
      <c r="J80" s="221"/>
      <c r="K80" s="222"/>
      <c r="L80" s="221"/>
      <c r="M80" s="222"/>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row>
    <row r="81" spans="3:49" x14ac:dyDescent="0.25">
      <c r="C81" s="214"/>
      <c r="D81" s="36"/>
      <c r="E81" s="36"/>
      <c r="F81" s="214"/>
      <c r="G81" s="206"/>
      <c r="H81" s="206"/>
      <c r="I81" s="206"/>
      <c r="J81" s="221"/>
      <c r="K81" s="222"/>
      <c r="L81" s="221"/>
      <c r="M81" s="222"/>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row>
    <row r="82" spans="3:49" x14ac:dyDescent="0.25">
      <c r="C82" s="214"/>
      <c r="D82" s="36"/>
      <c r="E82" s="36"/>
      <c r="F82" s="36"/>
      <c r="G82" s="206"/>
      <c r="H82" s="206"/>
      <c r="I82" s="206"/>
      <c r="J82" s="221"/>
      <c r="K82" s="222"/>
      <c r="L82" s="221"/>
      <c r="M82" s="222"/>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row>
    <row r="83" spans="3:49" x14ac:dyDescent="0.25">
      <c r="C83" s="214"/>
      <c r="D83" s="36"/>
      <c r="E83" s="36"/>
      <c r="F83" s="214"/>
      <c r="G83" s="206"/>
      <c r="H83" s="206"/>
      <c r="I83" s="206"/>
      <c r="J83" s="221"/>
      <c r="K83" s="222"/>
      <c r="L83" s="221"/>
      <c r="M83" s="222"/>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row>
    <row r="84" spans="3:49" x14ac:dyDescent="0.25">
      <c r="C84" s="214"/>
      <c r="D84" s="36"/>
      <c r="E84" s="36"/>
      <c r="F84" s="214"/>
      <c r="G84" s="206"/>
      <c r="H84" s="206"/>
      <c r="I84" s="206"/>
      <c r="J84" s="221"/>
      <c r="K84" s="222"/>
      <c r="L84" s="221"/>
      <c r="M84" s="222"/>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row>
    <row r="85" spans="3:49" x14ac:dyDescent="0.25">
      <c r="C85" s="214"/>
      <c r="D85" s="36"/>
      <c r="E85" s="36"/>
      <c r="F85" s="36"/>
      <c r="G85" s="206"/>
      <c r="H85" s="206"/>
      <c r="I85" s="206"/>
      <c r="J85" s="221"/>
      <c r="K85" s="222"/>
      <c r="L85" s="221"/>
      <c r="M85" s="222"/>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row>
    <row r="86" spans="3:49" x14ac:dyDescent="0.25">
      <c r="C86" s="214"/>
      <c r="D86" s="36"/>
      <c r="E86" s="36"/>
      <c r="F86" s="214"/>
      <c r="G86" s="206"/>
      <c r="H86" s="206"/>
      <c r="I86" s="206"/>
      <c r="J86" s="221"/>
      <c r="K86" s="222"/>
      <c r="L86" s="221"/>
      <c r="M86" s="222"/>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row>
    <row r="87" spans="3:49" x14ac:dyDescent="0.25">
      <c r="C87" s="214"/>
      <c r="D87" s="36"/>
      <c r="E87" s="36"/>
      <c r="F87" s="214"/>
      <c r="G87" s="206"/>
      <c r="H87" s="206"/>
      <c r="I87" s="206"/>
      <c r="J87" s="221"/>
      <c r="K87" s="222"/>
      <c r="L87" s="221"/>
      <c r="M87" s="222"/>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row>
    <row r="88" spans="3:49" x14ac:dyDescent="0.25">
      <c r="C88" s="214"/>
      <c r="D88" s="36"/>
      <c r="E88" s="36"/>
      <c r="F88" s="36"/>
      <c r="G88" s="206"/>
      <c r="H88" s="206"/>
      <c r="I88" s="206"/>
      <c r="J88" s="221"/>
      <c r="K88" s="222"/>
      <c r="L88" s="221"/>
      <c r="M88" s="222"/>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row>
    <row r="89" spans="3:49" x14ac:dyDescent="0.25">
      <c r="C89" s="214"/>
      <c r="D89" s="36"/>
      <c r="E89" s="36"/>
      <c r="F89" s="214"/>
      <c r="G89" s="206"/>
      <c r="H89" s="206"/>
      <c r="I89" s="206"/>
      <c r="J89" s="221"/>
      <c r="K89" s="222"/>
      <c r="L89" s="221"/>
      <c r="M89" s="222"/>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row>
    <row r="90" spans="3:49" x14ac:dyDescent="0.25">
      <c r="C90" s="214"/>
      <c r="D90" s="36"/>
      <c r="E90" s="36"/>
      <c r="F90" s="214"/>
      <c r="G90" s="206"/>
      <c r="H90" s="206"/>
      <c r="I90" s="206"/>
      <c r="J90" s="221"/>
      <c r="K90" s="222"/>
      <c r="L90" s="221"/>
      <c r="M90" s="222"/>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row>
    <row r="91" spans="3:49" x14ac:dyDescent="0.25">
      <c r="C91" s="214"/>
      <c r="D91" s="36"/>
      <c r="E91" s="36"/>
      <c r="F91" s="36"/>
      <c r="G91" s="206"/>
      <c r="H91" s="206"/>
      <c r="I91" s="206"/>
      <c r="J91" s="221"/>
      <c r="K91" s="222"/>
      <c r="L91" s="221"/>
      <c r="M91" s="222"/>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row>
    <row r="92" spans="3:49" x14ac:dyDescent="0.25">
      <c r="C92" s="214"/>
      <c r="D92" s="36"/>
      <c r="E92" s="36"/>
      <c r="F92" s="214"/>
      <c r="G92" s="206"/>
      <c r="H92" s="206"/>
      <c r="I92" s="206"/>
      <c r="J92" s="221"/>
      <c r="K92" s="222"/>
      <c r="L92" s="221"/>
      <c r="M92" s="222"/>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row>
    <row r="93" spans="3:49" x14ac:dyDescent="0.25">
      <c r="C93" s="214"/>
      <c r="D93" s="36"/>
      <c r="E93" s="36"/>
      <c r="F93" s="214"/>
      <c r="G93" s="206"/>
      <c r="H93" s="206"/>
      <c r="I93" s="206"/>
      <c r="J93" s="221"/>
      <c r="K93" s="222"/>
      <c r="L93" s="221"/>
      <c r="M93" s="222"/>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row>
    <row r="94" spans="3:49" x14ac:dyDescent="0.25">
      <c r="C94" s="214"/>
      <c r="D94" s="36"/>
      <c r="E94" s="36"/>
      <c r="F94" s="36"/>
      <c r="G94" s="206"/>
      <c r="H94" s="206"/>
      <c r="I94" s="206"/>
      <c r="J94" s="221"/>
      <c r="K94" s="222"/>
      <c r="L94" s="221"/>
      <c r="M94" s="222"/>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row>
    <row r="95" spans="3:49" x14ac:dyDescent="0.25">
      <c r="C95" s="214"/>
      <c r="D95" s="36"/>
      <c r="E95" s="36"/>
      <c r="F95" s="214"/>
      <c r="G95" s="206"/>
      <c r="H95" s="206"/>
      <c r="I95" s="206"/>
      <c r="J95" s="221"/>
      <c r="K95" s="222"/>
      <c r="L95" s="221"/>
      <c r="M95" s="222"/>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row>
    <row r="96" spans="3:49" x14ac:dyDescent="0.25">
      <c r="C96" s="214"/>
      <c r="D96" s="36"/>
      <c r="E96" s="36"/>
      <c r="F96" s="214"/>
      <c r="G96" s="206"/>
      <c r="H96" s="206"/>
      <c r="I96" s="206"/>
      <c r="J96" s="221"/>
      <c r="K96" s="222"/>
      <c r="L96" s="221"/>
      <c r="M96" s="222"/>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row>
    <row r="97" spans="3:49" x14ac:dyDescent="0.25">
      <c r="C97" s="214"/>
      <c r="D97" s="36"/>
      <c r="E97" s="36"/>
      <c r="F97" s="36"/>
      <c r="G97" s="206"/>
      <c r="H97" s="206"/>
      <c r="I97" s="206"/>
      <c r="J97" s="221"/>
      <c r="K97" s="222"/>
      <c r="L97" s="221"/>
      <c r="M97" s="222"/>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row>
    <row r="98" spans="3:49" x14ac:dyDescent="0.25">
      <c r="C98" s="214"/>
      <c r="D98" s="36"/>
      <c r="E98" s="36"/>
      <c r="F98" s="214"/>
      <c r="G98" s="206"/>
      <c r="H98" s="206"/>
      <c r="I98" s="206"/>
      <c r="J98" s="221"/>
      <c r="K98" s="222"/>
      <c r="L98" s="221"/>
      <c r="M98" s="222"/>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row>
    <row r="99" spans="3:49" x14ac:dyDescent="0.25">
      <c r="C99" s="214"/>
      <c r="D99" s="36"/>
      <c r="E99" s="36"/>
      <c r="F99" s="214"/>
      <c r="G99" s="206"/>
      <c r="H99" s="206"/>
      <c r="I99" s="206"/>
      <c r="J99" s="221"/>
      <c r="K99" s="222"/>
      <c r="L99" s="221"/>
      <c r="M99" s="222"/>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row>
    <row r="100" spans="3:49" x14ac:dyDescent="0.25">
      <c r="C100" s="214"/>
      <c r="D100" s="36"/>
      <c r="E100" s="36"/>
      <c r="F100" s="36"/>
      <c r="G100" s="206"/>
      <c r="H100" s="206"/>
      <c r="I100" s="206"/>
      <c r="J100" s="221"/>
      <c r="K100" s="222"/>
      <c r="L100" s="221"/>
      <c r="M100" s="222"/>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row>
    <row r="101" spans="3:49" x14ac:dyDescent="0.25">
      <c r="C101" s="214"/>
      <c r="D101" s="36"/>
      <c r="E101" s="36"/>
      <c r="F101" s="214"/>
      <c r="G101" s="206"/>
      <c r="H101" s="206"/>
      <c r="I101" s="206"/>
      <c r="J101" s="221"/>
      <c r="K101" s="222"/>
      <c r="L101" s="221"/>
      <c r="M101" s="222"/>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row>
    <row r="102" spans="3:49" x14ac:dyDescent="0.25">
      <c r="C102" s="214"/>
      <c r="D102" s="36"/>
      <c r="E102" s="36"/>
      <c r="F102" s="214"/>
      <c r="G102" s="206"/>
      <c r="H102" s="206"/>
      <c r="I102" s="206"/>
      <c r="J102" s="221"/>
      <c r="K102" s="222"/>
      <c r="L102" s="221"/>
      <c r="M102" s="222"/>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row>
    <row r="103" spans="3:49" x14ac:dyDescent="0.25">
      <c r="C103" s="214"/>
      <c r="D103" s="36"/>
      <c r="E103" s="36"/>
      <c r="F103" s="36"/>
      <c r="G103" s="206"/>
      <c r="H103" s="206"/>
      <c r="I103" s="206"/>
      <c r="J103" s="221"/>
      <c r="K103" s="222"/>
      <c r="L103" s="221"/>
      <c r="M103" s="222"/>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row>
    <row r="104" spans="3:49" x14ac:dyDescent="0.25">
      <c r="C104" s="214"/>
      <c r="D104" s="36"/>
      <c r="E104" s="36"/>
      <c r="F104" s="214"/>
      <c r="G104" s="206"/>
      <c r="H104" s="206"/>
      <c r="I104" s="206"/>
      <c r="J104" s="221"/>
      <c r="K104" s="222"/>
      <c r="L104" s="221"/>
      <c r="M104" s="222"/>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row>
    <row r="105" spans="3:49" x14ac:dyDescent="0.25">
      <c r="C105" s="214"/>
      <c r="D105" s="36"/>
      <c r="E105" s="36"/>
      <c r="F105" s="214"/>
      <c r="G105" s="206"/>
      <c r="H105" s="206"/>
      <c r="I105" s="206"/>
      <c r="J105" s="221"/>
      <c r="K105" s="222"/>
      <c r="L105" s="221"/>
      <c r="M105" s="222"/>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row>
    <row r="106" spans="3:49" x14ac:dyDescent="0.25">
      <c r="C106" s="214"/>
      <c r="D106" s="36"/>
      <c r="E106" s="36"/>
      <c r="F106" s="36"/>
      <c r="G106" s="206"/>
      <c r="H106" s="206"/>
      <c r="I106" s="206"/>
      <c r="J106" s="221"/>
      <c r="K106" s="222"/>
      <c r="L106" s="221"/>
      <c r="M106" s="222"/>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row>
    <row r="107" spans="3:49" x14ac:dyDescent="0.25">
      <c r="C107" s="214"/>
      <c r="D107" s="36"/>
      <c r="E107" s="36"/>
      <c r="F107" s="214"/>
      <c r="G107" s="206"/>
      <c r="H107" s="206"/>
      <c r="I107" s="206"/>
      <c r="J107" s="221"/>
      <c r="K107" s="222"/>
      <c r="L107" s="221"/>
      <c r="M107" s="222"/>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row>
    <row r="108" spans="3:49" x14ac:dyDescent="0.25">
      <c r="C108" s="214"/>
      <c r="D108" s="36"/>
      <c r="E108" s="36"/>
      <c r="F108" s="214"/>
      <c r="G108" s="206"/>
      <c r="H108" s="206"/>
      <c r="I108" s="206"/>
      <c r="J108" s="221"/>
      <c r="K108" s="222"/>
      <c r="L108" s="221"/>
      <c r="M108" s="222"/>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row>
    <row r="109" spans="3:49" x14ac:dyDescent="0.25">
      <c r="C109" s="214"/>
      <c r="D109" s="36"/>
      <c r="E109" s="36"/>
      <c r="F109" s="36"/>
      <c r="G109" s="206"/>
      <c r="H109" s="206"/>
      <c r="I109" s="206"/>
      <c r="J109" s="221"/>
      <c r="K109" s="222"/>
      <c r="L109" s="221"/>
      <c r="M109" s="222"/>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row>
    <row r="110" spans="3:49" x14ac:dyDescent="0.25">
      <c r="C110" s="214"/>
      <c r="D110" s="36"/>
      <c r="E110" s="36"/>
      <c r="F110" s="214"/>
      <c r="G110" s="206"/>
      <c r="H110" s="206"/>
      <c r="I110" s="206"/>
      <c r="J110" s="221"/>
      <c r="K110" s="222"/>
      <c r="L110" s="221"/>
      <c r="M110" s="222"/>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row>
    <row r="111" spans="3:49" x14ac:dyDescent="0.25">
      <c r="C111" s="214"/>
      <c r="D111" s="36"/>
      <c r="E111" s="36"/>
      <c r="F111" s="214"/>
      <c r="G111" s="206"/>
      <c r="H111" s="206"/>
      <c r="I111" s="206"/>
      <c r="J111" s="221"/>
      <c r="K111" s="222"/>
      <c r="L111" s="221"/>
      <c r="M111" s="222"/>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row>
    <row r="112" spans="3:49" x14ac:dyDescent="0.25">
      <c r="C112" s="214"/>
      <c r="D112" s="36"/>
      <c r="E112" s="36"/>
      <c r="F112" s="36"/>
      <c r="G112" s="206"/>
      <c r="H112" s="206"/>
      <c r="I112" s="206"/>
      <c r="J112" s="221"/>
      <c r="K112" s="222"/>
      <c r="L112" s="221"/>
      <c r="M112" s="222"/>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row>
    <row r="113" spans="3:49" x14ac:dyDescent="0.25">
      <c r="C113" s="214"/>
      <c r="D113" s="36"/>
      <c r="E113" s="36"/>
      <c r="F113" s="214"/>
      <c r="G113" s="206"/>
      <c r="H113" s="206"/>
      <c r="I113" s="206"/>
      <c r="J113" s="221"/>
      <c r="K113" s="222"/>
      <c r="L113" s="221"/>
      <c r="M113" s="222"/>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row>
    <row r="114" spans="3:49" x14ac:dyDescent="0.25">
      <c r="C114" s="214"/>
      <c r="D114" s="36"/>
      <c r="E114" s="36"/>
      <c r="F114" s="214"/>
      <c r="G114" s="206"/>
      <c r="H114" s="206"/>
      <c r="I114" s="206"/>
      <c r="J114" s="221"/>
      <c r="K114" s="222"/>
      <c r="L114" s="221"/>
      <c r="M114" s="222"/>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row>
    <row r="115" spans="3:49" x14ac:dyDescent="0.25">
      <c r="C115" s="214"/>
      <c r="D115" s="36"/>
      <c r="E115" s="36"/>
      <c r="F115" s="36"/>
      <c r="G115" s="206"/>
      <c r="H115" s="206"/>
      <c r="I115" s="206"/>
      <c r="J115" s="221"/>
      <c r="K115" s="222"/>
      <c r="L115" s="221"/>
      <c r="M115" s="222"/>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row>
    <row r="116" spans="3:49" x14ac:dyDescent="0.25">
      <c r="C116" s="214"/>
      <c r="D116" s="36"/>
      <c r="E116" s="36"/>
      <c r="F116" s="214"/>
      <c r="G116" s="206"/>
      <c r="H116" s="206"/>
      <c r="I116" s="206"/>
      <c r="J116" s="221"/>
      <c r="K116" s="222"/>
      <c r="L116" s="221"/>
      <c r="M116" s="222"/>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row>
    <row r="117" spans="3:49" x14ac:dyDescent="0.25">
      <c r="C117" s="214"/>
      <c r="D117" s="36"/>
      <c r="E117" s="36"/>
      <c r="F117" s="214"/>
      <c r="G117" s="206"/>
      <c r="H117" s="206"/>
      <c r="I117" s="206"/>
      <c r="J117" s="221"/>
      <c r="K117" s="222"/>
      <c r="L117" s="221"/>
      <c r="M117" s="222"/>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row>
    <row r="118" spans="3:49" x14ac:dyDescent="0.25">
      <c r="C118" s="214"/>
      <c r="D118" s="36"/>
      <c r="E118" s="36"/>
      <c r="F118" s="36"/>
      <c r="G118" s="206"/>
      <c r="H118" s="206"/>
      <c r="I118" s="206"/>
      <c r="J118" s="221"/>
      <c r="K118" s="222"/>
      <c r="L118" s="221"/>
      <c r="M118" s="222"/>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row>
    <row r="119" spans="3:49" x14ac:dyDescent="0.25">
      <c r="C119" s="214"/>
      <c r="D119" s="36"/>
      <c r="E119" s="36"/>
      <c r="F119" s="214"/>
      <c r="G119" s="206"/>
      <c r="H119" s="206"/>
      <c r="I119" s="206"/>
      <c r="J119" s="221"/>
      <c r="K119" s="222"/>
      <c r="L119" s="221"/>
      <c r="M119" s="222"/>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row>
    <row r="120" spans="3:49" x14ac:dyDescent="0.25">
      <c r="C120" s="214"/>
      <c r="D120" s="36"/>
      <c r="E120" s="36"/>
      <c r="F120" s="214"/>
      <c r="G120" s="206"/>
      <c r="H120" s="206"/>
      <c r="I120" s="206"/>
      <c r="J120" s="221"/>
      <c r="K120" s="222"/>
      <c r="L120" s="221"/>
      <c r="M120" s="222"/>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row>
    <row r="121" spans="3:49" x14ac:dyDescent="0.25">
      <c r="C121" s="214"/>
      <c r="D121" s="36"/>
      <c r="E121" s="36"/>
      <c r="F121" s="36"/>
      <c r="G121" s="206"/>
      <c r="H121" s="206"/>
      <c r="I121" s="206"/>
      <c r="J121" s="221"/>
      <c r="K121" s="222"/>
      <c r="L121" s="221"/>
      <c r="M121" s="222"/>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row>
    <row r="122" spans="3:49" x14ac:dyDescent="0.25">
      <c r="C122" s="214"/>
      <c r="D122" s="36"/>
      <c r="E122" s="36"/>
      <c r="F122" s="214"/>
      <c r="G122" s="206"/>
      <c r="H122" s="206"/>
      <c r="I122" s="206"/>
      <c r="J122" s="221"/>
      <c r="K122" s="222"/>
      <c r="L122" s="221"/>
      <c r="M122" s="222"/>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row>
    <row r="123" spans="3:49" x14ac:dyDescent="0.25">
      <c r="C123" s="214"/>
      <c r="D123" s="36"/>
      <c r="E123" s="36"/>
      <c r="F123" s="214"/>
      <c r="G123" s="206"/>
      <c r="H123" s="206"/>
      <c r="I123" s="206"/>
      <c r="J123" s="221"/>
      <c r="K123" s="222"/>
      <c r="L123" s="221"/>
      <c r="M123" s="222"/>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row>
    <row r="124" spans="3:49" x14ac:dyDescent="0.25">
      <c r="C124" s="214"/>
      <c r="D124" s="36"/>
      <c r="E124" s="36"/>
      <c r="F124" s="36"/>
      <c r="G124" s="206"/>
      <c r="H124" s="206"/>
      <c r="I124" s="206"/>
      <c r="J124" s="221"/>
      <c r="K124" s="222"/>
      <c r="L124" s="221"/>
      <c r="M124" s="222"/>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row>
    <row r="125" spans="3:49" x14ac:dyDescent="0.25">
      <c r="C125" s="214"/>
      <c r="D125" s="36"/>
      <c r="E125" s="36"/>
      <c r="F125" s="214"/>
      <c r="G125" s="206"/>
      <c r="H125" s="206"/>
      <c r="I125" s="206"/>
      <c r="J125" s="221"/>
      <c r="K125" s="222"/>
      <c r="L125" s="221"/>
      <c r="M125" s="222"/>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row>
    <row r="126" spans="3:49" x14ac:dyDescent="0.25">
      <c r="C126" s="214"/>
      <c r="D126" s="36"/>
      <c r="E126" s="36"/>
      <c r="F126" s="214"/>
      <c r="G126" s="206"/>
      <c r="H126" s="206"/>
      <c r="I126" s="206"/>
      <c r="J126" s="221"/>
      <c r="K126" s="222"/>
      <c r="L126" s="221"/>
      <c r="M126" s="222"/>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row>
    <row r="127" spans="3:49" x14ac:dyDescent="0.25">
      <c r="C127" s="214"/>
      <c r="D127" s="36"/>
      <c r="E127" s="36"/>
      <c r="F127" s="36"/>
      <c r="G127" s="206"/>
      <c r="H127" s="206"/>
      <c r="I127" s="206"/>
      <c r="J127" s="221"/>
      <c r="K127" s="222"/>
      <c r="L127" s="221"/>
      <c r="M127" s="222"/>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row>
    <row r="128" spans="3:49" x14ac:dyDescent="0.25">
      <c r="C128" s="214"/>
      <c r="D128" s="36"/>
      <c r="E128" s="36"/>
      <c r="F128" s="214"/>
      <c r="G128" s="206"/>
      <c r="H128" s="206"/>
      <c r="I128" s="206"/>
      <c r="J128" s="221"/>
      <c r="K128" s="222"/>
      <c r="L128" s="221"/>
      <c r="M128" s="222"/>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row>
    <row r="129" spans="3:49" x14ac:dyDescent="0.25">
      <c r="C129" s="214"/>
      <c r="D129" s="36"/>
      <c r="E129" s="36"/>
      <c r="F129" s="214"/>
      <c r="G129" s="206"/>
      <c r="H129" s="206"/>
      <c r="I129" s="206"/>
      <c r="J129" s="221"/>
      <c r="K129" s="222"/>
      <c r="L129" s="221"/>
      <c r="M129" s="222"/>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row>
    <row r="130" spans="3:49" x14ac:dyDescent="0.25">
      <c r="C130" s="214"/>
      <c r="D130" s="36"/>
      <c r="E130" s="36"/>
      <c r="F130" s="36"/>
      <c r="G130" s="206"/>
      <c r="H130" s="206"/>
      <c r="I130" s="206"/>
      <c r="J130" s="221"/>
      <c r="K130" s="222"/>
      <c r="L130" s="221"/>
      <c r="M130" s="222"/>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row>
    <row r="131" spans="3:49" x14ac:dyDescent="0.25">
      <c r="C131" s="214"/>
      <c r="D131" s="36"/>
      <c r="E131" s="36"/>
      <c r="F131" s="214"/>
      <c r="G131" s="206"/>
      <c r="H131" s="206"/>
      <c r="I131" s="206"/>
      <c r="J131" s="221"/>
      <c r="K131" s="222"/>
      <c r="L131" s="221"/>
      <c r="M131" s="222"/>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row>
    <row r="132" spans="3:49" x14ac:dyDescent="0.25">
      <c r="C132" s="214"/>
      <c r="D132" s="36"/>
      <c r="E132" s="36"/>
      <c r="F132" s="214"/>
      <c r="G132" s="206"/>
      <c r="H132" s="206"/>
      <c r="I132" s="206"/>
      <c r="J132" s="221"/>
      <c r="K132" s="222"/>
      <c r="L132" s="221"/>
      <c r="M132" s="222"/>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row>
    <row r="133" spans="3:49" x14ac:dyDescent="0.25">
      <c r="C133" s="214"/>
      <c r="D133" s="36"/>
      <c r="E133" s="36"/>
      <c r="F133" s="36"/>
      <c r="G133" s="206"/>
      <c r="H133" s="206"/>
      <c r="I133" s="206"/>
      <c r="J133" s="221"/>
      <c r="K133" s="222"/>
      <c r="L133" s="221"/>
      <c r="M133" s="222"/>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row>
    <row r="134" spans="3:49" x14ac:dyDescent="0.25">
      <c r="C134" s="214"/>
      <c r="D134" s="36"/>
      <c r="E134" s="36"/>
      <c r="F134" s="214"/>
      <c r="G134" s="206"/>
      <c r="H134" s="206"/>
      <c r="I134" s="206"/>
      <c r="J134" s="221"/>
      <c r="K134" s="222"/>
      <c r="L134" s="221"/>
      <c r="M134" s="222"/>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row>
    <row r="135" spans="3:49" x14ac:dyDescent="0.25">
      <c r="C135" s="214"/>
      <c r="D135" s="36"/>
      <c r="E135" s="36"/>
      <c r="F135" s="214"/>
      <c r="G135" s="206"/>
      <c r="H135" s="206"/>
      <c r="I135" s="206"/>
      <c r="J135" s="221"/>
      <c r="K135" s="222"/>
      <c r="L135" s="221"/>
      <c r="M135" s="222"/>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row>
    <row r="136" spans="3:49" x14ac:dyDescent="0.25">
      <c r="C136" s="214"/>
      <c r="D136" s="36"/>
      <c r="E136" s="36"/>
      <c r="F136" s="36"/>
      <c r="G136" s="206"/>
      <c r="H136" s="206"/>
      <c r="I136" s="206"/>
      <c r="J136" s="221"/>
      <c r="K136" s="222"/>
      <c r="L136" s="221"/>
      <c r="M136" s="222"/>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row>
    <row r="137" spans="3:49" x14ac:dyDescent="0.25">
      <c r="C137" s="214"/>
      <c r="D137" s="36"/>
      <c r="E137" s="36"/>
      <c r="F137" s="214"/>
      <c r="G137" s="206"/>
      <c r="H137" s="206"/>
      <c r="I137" s="206"/>
      <c r="J137" s="221"/>
      <c r="K137" s="222"/>
      <c r="L137" s="221"/>
      <c r="M137" s="222"/>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row>
    <row r="138" spans="3:49" x14ac:dyDescent="0.25">
      <c r="C138" s="214"/>
      <c r="D138" s="36"/>
      <c r="E138" s="36"/>
      <c r="F138" s="214"/>
      <c r="G138" s="206"/>
      <c r="H138" s="206"/>
      <c r="I138" s="206"/>
      <c r="J138" s="221"/>
      <c r="K138" s="222"/>
      <c r="L138" s="221"/>
      <c r="M138" s="222"/>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row>
    <row r="139" spans="3:49" x14ac:dyDescent="0.25">
      <c r="C139" s="214"/>
      <c r="D139" s="36"/>
      <c r="E139" s="36"/>
      <c r="F139" s="36"/>
      <c r="G139" s="206"/>
      <c r="H139" s="206"/>
      <c r="I139" s="206"/>
      <c r="J139" s="221"/>
      <c r="K139" s="222"/>
      <c r="L139" s="221"/>
      <c r="M139" s="222"/>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row>
    <row r="140" spans="3:49" x14ac:dyDescent="0.25">
      <c r="C140" s="214"/>
      <c r="D140" s="36"/>
      <c r="E140" s="36"/>
      <c r="F140" s="214"/>
      <c r="G140" s="206"/>
      <c r="H140" s="206"/>
      <c r="I140" s="206"/>
      <c r="J140" s="221"/>
      <c r="K140" s="222"/>
      <c r="L140" s="221"/>
      <c r="M140" s="222"/>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row>
    <row r="141" spans="3:49" x14ac:dyDescent="0.25">
      <c r="C141" s="214"/>
      <c r="D141" s="36"/>
      <c r="E141" s="36"/>
      <c r="F141" s="214"/>
      <c r="G141" s="206"/>
      <c r="H141" s="206"/>
      <c r="I141" s="206"/>
      <c r="J141" s="221"/>
      <c r="K141" s="222"/>
      <c r="L141" s="221"/>
      <c r="M141" s="222"/>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c r="AV141" s="221"/>
      <c r="AW141" s="221"/>
    </row>
    <row r="142" spans="3:49" x14ac:dyDescent="0.25">
      <c r="C142" s="214"/>
      <c r="D142" s="36"/>
      <c r="E142" s="36"/>
      <c r="F142" s="36"/>
      <c r="G142" s="206"/>
      <c r="H142" s="206"/>
      <c r="I142" s="206"/>
      <c r="J142" s="221"/>
      <c r="K142" s="222"/>
      <c r="L142" s="221"/>
      <c r="M142" s="222"/>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c r="AV142" s="221"/>
      <c r="AW142" s="221"/>
    </row>
    <row r="143" spans="3:49" x14ac:dyDescent="0.25">
      <c r="C143" s="214"/>
      <c r="D143" s="36"/>
      <c r="E143" s="36"/>
      <c r="F143" s="214"/>
      <c r="G143" s="206"/>
      <c r="H143" s="206"/>
      <c r="I143" s="206"/>
      <c r="J143" s="221"/>
      <c r="K143" s="222"/>
      <c r="L143" s="221"/>
      <c r="M143" s="222"/>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c r="AV143" s="221"/>
      <c r="AW143" s="221"/>
    </row>
    <row r="144" spans="3:49" x14ac:dyDescent="0.25">
      <c r="C144" s="214"/>
      <c r="D144" s="36"/>
      <c r="E144" s="36"/>
      <c r="F144" s="214"/>
      <c r="G144" s="206"/>
      <c r="H144" s="206"/>
      <c r="I144" s="206"/>
      <c r="J144" s="221"/>
      <c r="K144" s="222"/>
      <c r="L144" s="221"/>
      <c r="M144" s="222"/>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row>
    <row r="145" spans="3:49" x14ac:dyDescent="0.25">
      <c r="C145" s="214"/>
      <c r="D145" s="36"/>
      <c r="E145" s="36"/>
      <c r="F145" s="36"/>
      <c r="G145" s="206"/>
      <c r="H145" s="206"/>
      <c r="I145" s="206"/>
      <c r="J145" s="221"/>
      <c r="K145" s="222"/>
      <c r="L145" s="221"/>
      <c r="M145" s="222"/>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row>
    <row r="146" spans="3:49" x14ac:dyDescent="0.25">
      <c r="C146" s="214"/>
      <c r="D146" s="36"/>
      <c r="E146" s="36"/>
      <c r="F146" s="214"/>
      <c r="G146" s="206"/>
      <c r="H146" s="206"/>
      <c r="I146" s="206"/>
      <c r="J146" s="221"/>
      <c r="K146" s="222"/>
      <c r="L146" s="221"/>
      <c r="M146" s="222"/>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c r="AT146" s="221"/>
      <c r="AU146" s="221"/>
      <c r="AV146" s="221"/>
      <c r="AW146" s="221"/>
    </row>
    <row r="147" spans="3:49" x14ac:dyDescent="0.25">
      <c r="C147" s="214"/>
      <c r="D147" s="36"/>
      <c r="E147" s="36"/>
      <c r="F147" s="214"/>
      <c r="G147" s="206"/>
      <c r="H147" s="206"/>
      <c r="I147" s="206"/>
      <c r="J147" s="221"/>
      <c r="K147" s="222"/>
      <c r="L147" s="221"/>
      <c r="M147" s="222"/>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21"/>
      <c r="AW147" s="221"/>
    </row>
    <row r="148" spans="3:49" x14ac:dyDescent="0.25">
      <c r="C148" s="214"/>
      <c r="D148" s="36"/>
      <c r="E148" s="36"/>
      <c r="F148" s="36"/>
      <c r="G148" s="206"/>
      <c r="H148" s="206"/>
      <c r="I148" s="206"/>
      <c r="J148" s="221"/>
      <c r="K148" s="222"/>
      <c r="L148" s="221"/>
      <c r="M148" s="222"/>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row>
    <row r="149" spans="3:49" x14ac:dyDescent="0.25">
      <c r="C149" s="214"/>
      <c r="D149" s="36"/>
      <c r="E149" s="36"/>
      <c r="F149" s="214"/>
      <c r="G149" s="206"/>
      <c r="H149" s="206"/>
      <c r="I149" s="206"/>
      <c r="J149" s="221"/>
      <c r="K149" s="222"/>
      <c r="L149" s="221"/>
      <c r="M149" s="222"/>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row>
    <row r="150" spans="3:49" x14ac:dyDescent="0.25">
      <c r="C150" s="214"/>
      <c r="D150" s="36"/>
      <c r="E150" s="36"/>
      <c r="F150" s="214"/>
      <c r="G150" s="206"/>
      <c r="H150" s="206"/>
      <c r="I150" s="206"/>
      <c r="J150" s="221"/>
      <c r="K150" s="222"/>
      <c r="L150" s="221"/>
      <c r="M150" s="222"/>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c r="AK150" s="221"/>
      <c r="AL150" s="221"/>
      <c r="AM150" s="221"/>
      <c r="AN150" s="221"/>
      <c r="AO150" s="221"/>
      <c r="AP150" s="221"/>
      <c r="AQ150" s="221"/>
      <c r="AR150" s="221"/>
      <c r="AS150" s="221"/>
      <c r="AT150" s="221"/>
      <c r="AU150" s="221"/>
      <c r="AV150" s="221"/>
      <c r="AW150" s="221"/>
    </row>
    <row r="151" spans="3:49" x14ac:dyDescent="0.25">
      <c r="C151" s="214"/>
      <c r="D151" s="36"/>
      <c r="E151" s="36"/>
      <c r="F151" s="36"/>
      <c r="G151" s="206"/>
      <c r="H151" s="206"/>
      <c r="I151" s="206"/>
      <c r="J151" s="221"/>
      <c r="K151" s="222"/>
      <c r="L151" s="221"/>
      <c r="M151" s="222"/>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c r="AK151" s="221"/>
      <c r="AL151" s="221"/>
      <c r="AM151" s="221"/>
      <c r="AN151" s="221"/>
      <c r="AO151" s="221"/>
      <c r="AP151" s="221"/>
      <c r="AQ151" s="221"/>
      <c r="AR151" s="221"/>
      <c r="AS151" s="221"/>
      <c r="AT151" s="221"/>
      <c r="AU151" s="221"/>
      <c r="AV151" s="221"/>
      <c r="AW151" s="221"/>
    </row>
    <row r="152" spans="3:49" x14ac:dyDescent="0.25">
      <c r="C152" s="214"/>
      <c r="D152" s="36"/>
      <c r="E152" s="36"/>
      <c r="F152" s="214"/>
      <c r="G152" s="206"/>
      <c r="H152" s="206"/>
      <c r="I152" s="206"/>
      <c r="J152" s="221"/>
      <c r="K152" s="222"/>
      <c r="L152" s="221"/>
      <c r="M152" s="222"/>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c r="AN152" s="221"/>
      <c r="AO152" s="221"/>
      <c r="AP152" s="221"/>
      <c r="AQ152" s="221"/>
      <c r="AR152" s="221"/>
      <c r="AS152" s="221"/>
      <c r="AT152" s="221"/>
      <c r="AU152" s="221"/>
      <c r="AV152" s="221"/>
      <c r="AW152" s="221"/>
    </row>
    <row r="153" spans="3:49" x14ac:dyDescent="0.25">
      <c r="C153" s="214"/>
      <c r="D153" s="36"/>
      <c r="E153" s="36"/>
      <c r="F153" s="214"/>
      <c r="G153" s="206"/>
      <c r="H153" s="206"/>
      <c r="I153" s="206"/>
      <c r="J153" s="221"/>
      <c r="K153" s="222"/>
      <c r="L153" s="221"/>
      <c r="M153" s="222"/>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c r="AK153" s="221"/>
      <c r="AL153" s="221"/>
      <c r="AM153" s="221"/>
      <c r="AN153" s="221"/>
      <c r="AO153" s="221"/>
      <c r="AP153" s="221"/>
      <c r="AQ153" s="221"/>
      <c r="AR153" s="221"/>
      <c r="AS153" s="221"/>
      <c r="AT153" s="221"/>
      <c r="AU153" s="221"/>
      <c r="AV153" s="221"/>
      <c r="AW153" s="221"/>
    </row>
    <row r="154" spans="3:49" x14ac:dyDescent="0.25">
      <c r="C154" s="214"/>
      <c r="D154" s="36"/>
      <c r="E154" s="36"/>
      <c r="F154" s="36"/>
      <c r="G154" s="206"/>
      <c r="H154" s="206"/>
      <c r="I154" s="206"/>
      <c r="J154" s="221"/>
      <c r="K154" s="222"/>
      <c r="L154" s="221"/>
      <c r="M154" s="222"/>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c r="AK154" s="221"/>
      <c r="AL154" s="221"/>
      <c r="AM154" s="221"/>
      <c r="AN154" s="221"/>
      <c r="AO154" s="221"/>
      <c r="AP154" s="221"/>
      <c r="AQ154" s="221"/>
      <c r="AR154" s="221"/>
      <c r="AS154" s="221"/>
      <c r="AT154" s="221"/>
      <c r="AU154" s="221"/>
      <c r="AV154" s="221"/>
      <c r="AW154" s="221"/>
    </row>
    <row r="155" spans="3:49" x14ac:dyDescent="0.25">
      <c r="C155" s="214"/>
      <c r="D155" s="36"/>
      <c r="E155" s="36"/>
      <c r="F155" s="214"/>
      <c r="G155" s="206"/>
      <c r="H155" s="206"/>
      <c r="I155" s="206"/>
      <c r="J155" s="221"/>
      <c r="K155" s="222"/>
      <c r="L155" s="221"/>
      <c r="M155" s="222"/>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c r="AI155" s="221"/>
      <c r="AJ155" s="221"/>
      <c r="AK155" s="221"/>
      <c r="AL155" s="221"/>
      <c r="AM155" s="221"/>
      <c r="AN155" s="221"/>
      <c r="AO155" s="221"/>
      <c r="AP155" s="221"/>
      <c r="AQ155" s="221"/>
      <c r="AR155" s="221"/>
      <c r="AS155" s="221"/>
      <c r="AT155" s="221"/>
      <c r="AU155" s="221"/>
      <c r="AV155" s="221"/>
      <c r="AW155" s="221"/>
    </row>
    <row r="156" spans="3:49" x14ac:dyDescent="0.25">
      <c r="C156" s="214"/>
      <c r="D156" s="36"/>
      <c r="E156" s="36"/>
      <c r="F156" s="214"/>
      <c r="G156" s="206"/>
      <c r="H156" s="206"/>
      <c r="I156" s="206"/>
      <c r="J156" s="221"/>
      <c r="K156" s="222"/>
      <c r="L156" s="221"/>
      <c r="M156" s="222"/>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row>
    <row r="157" spans="3:49" x14ac:dyDescent="0.25">
      <c r="C157" s="214"/>
      <c r="D157" s="36"/>
      <c r="E157" s="36"/>
      <c r="F157" s="36"/>
      <c r="G157" s="206"/>
      <c r="H157" s="206"/>
      <c r="I157" s="206"/>
      <c r="J157" s="221"/>
      <c r="K157" s="222"/>
      <c r="L157" s="221"/>
      <c r="M157" s="222"/>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row>
    <row r="158" spans="3:49" x14ac:dyDescent="0.25">
      <c r="C158" s="214"/>
      <c r="D158" s="36"/>
      <c r="E158" s="36"/>
      <c r="F158" s="214"/>
      <c r="G158" s="206"/>
      <c r="H158" s="206"/>
      <c r="I158" s="206"/>
      <c r="J158" s="221"/>
      <c r="K158" s="222"/>
      <c r="L158" s="221"/>
      <c r="M158" s="222"/>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c r="AI158" s="221"/>
      <c r="AJ158" s="221"/>
      <c r="AK158" s="221"/>
      <c r="AL158" s="221"/>
      <c r="AM158" s="221"/>
      <c r="AN158" s="221"/>
      <c r="AO158" s="221"/>
      <c r="AP158" s="221"/>
      <c r="AQ158" s="221"/>
      <c r="AR158" s="221"/>
      <c r="AS158" s="221"/>
      <c r="AT158" s="221"/>
      <c r="AU158" s="221"/>
      <c r="AV158" s="221"/>
      <c r="AW158" s="221"/>
    </row>
    <row r="159" spans="3:49" x14ac:dyDescent="0.25">
      <c r="C159" s="214"/>
      <c r="D159" s="36"/>
      <c r="E159" s="36"/>
      <c r="F159" s="214"/>
      <c r="G159" s="206"/>
      <c r="H159" s="206"/>
      <c r="I159" s="206"/>
      <c r="J159" s="221"/>
      <c r="K159" s="222"/>
      <c r="L159" s="221"/>
      <c r="M159" s="222"/>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c r="AI159" s="221"/>
      <c r="AJ159" s="221"/>
      <c r="AK159" s="221"/>
      <c r="AL159" s="221"/>
      <c r="AM159" s="221"/>
      <c r="AN159" s="221"/>
      <c r="AO159" s="221"/>
      <c r="AP159" s="221"/>
      <c r="AQ159" s="221"/>
      <c r="AR159" s="221"/>
      <c r="AS159" s="221"/>
      <c r="AT159" s="221"/>
      <c r="AU159" s="221"/>
      <c r="AV159" s="221"/>
      <c r="AW159" s="221"/>
    </row>
    <row r="160" spans="3:49" x14ac:dyDescent="0.25">
      <c r="C160" s="214"/>
      <c r="D160" s="36"/>
      <c r="E160" s="36"/>
      <c r="F160" s="36"/>
      <c r="G160" s="206"/>
      <c r="H160" s="206"/>
      <c r="I160" s="206"/>
      <c r="J160" s="221"/>
      <c r="K160" s="222"/>
      <c r="L160" s="221"/>
      <c r="M160" s="222"/>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c r="AI160" s="221"/>
      <c r="AJ160" s="221"/>
      <c r="AK160" s="221"/>
      <c r="AL160" s="221"/>
      <c r="AM160" s="221"/>
      <c r="AN160" s="221"/>
      <c r="AO160" s="221"/>
      <c r="AP160" s="221"/>
      <c r="AQ160" s="221"/>
      <c r="AR160" s="221"/>
      <c r="AS160" s="221"/>
      <c r="AT160" s="221"/>
      <c r="AU160" s="221"/>
      <c r="AV160" s="221"/>
      <c r="AW160" s="221"/>
    </row>
    <row r="161" spans="3:49" x14ac:dyDescent="0.25">
      <c r="C161" s="214"/>
      <c r="D161" s="36"/>
      <c r="E161" s="36"/>
      <c r="F161" s="214"/>
      <c r="G161" s="206"/>
      <c r="H161" s="206"/>
      <c r="I161" s="206"/>
      <c r="J161" s="221"/>
      <c r="K161" s="222"/>
      <c r="L161" s="221"/>
      <c r="M161" s="222"/>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c r="AI161" s="221"/>
      <c r="AJ161" s="221"/>
      <c r="AK161" s="221"/>
      <c r="AL161" s="221"/>
      <c r="AM161" s="221"/>
      <c r="AN161" s="221"/>
      <c r="AO161" s="221"/>
      <c r="AP161" s="221"/>
      <c r="AQ161" s="221"/>
      <c r="AR161" s="221"/>
      <c r="AS161" s="221"/>
      <c r="AT161" s="221"/>
      <c r="AU161" s="221"/>
      <c r="AV161" s="221"/>
      <c r="AW161" s="221"/>
    </row>
    <row r="162" spans="3:49" x14ac:dyDescent="0.25">
      <c r="C162" s="214"/>
      <c r="D162" s="36"/>
      <c r="E162" s="36"/>
      <c r="F162" s="214"/>
      <c r="G162" s="206"/>
      <c r="H162" s="206"/>
      <c r="I162" s="206"/>
      <c r="J162" s="221"/>
      <c r="K162" s="222"/>
      <c r="L162" s="221"/>
      <c r="M162" s="222"/>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221"/>
      <c r="AV162" s="221"/>
      <c r="AW162" s="221"/>
    </row>
    <row r="163" spans="3:49" x14ac:dyDescent="0.25">
      <c r="C163" s="214"/>
      <c r="D163" s="36"/>
      <c r="E163" s="36"/>
      <c r="F163" s="36"/>
      <c r="G163" s="206"/>
      <c r="H163" s="206"/>
      <c r="I163" s="206"/>
      <c r="J163" s="221"/>
      <c r="K163" s="222"/>
      <c r="L163" s="221"/>
      <c r="M163" s="222"/>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row>
    <row r="164" spans="3:49" x14ac:dyDescent="0.25">
      <c r="C164" s="214"/>
      <c r="D164" s="36"/>
      <c r="E164" s="36"/>
      <c r="F164" s="214"/>
      <c r="G164" s="206"/>
      <c r="H164" s="206"/>
      <c r="I164" s="206"/>
      <c r="J164" s="221"/>
      <c r="K164" s="222"/>
      <c r="L164" s="221"/>
      <c r="M164" s="222"/>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1"/>
      <c r="AK164" s="221"/>
      <c r="AL164" s="221"/>
      <c r="AM164" s="221"/>
      <c r="AN164" s="221"/>
      <c r="AO164" s="221"/>
      <c r="AP164" s="221"/>
      <c r="AQ164" s="221"/>
      <c r="AR164" s="221"/>
      <c r="AS164" s="221"/>
      <c r="AT164" s="221"/>
      <c r="AU164" s="221"/>
      <c r="AV164" s="221"/>
      <c r="AW164" s="221"/>
    </row>
    <row r="165" spans="3:49" x14ac:dyDescent="0.25">
      <c r="C165" s="214"/>
      <c r="D165" s="36"/>
      <c r="E165" s="36"/>
      <c r="F165" s="214"/>
      <c r="G165" s="206"/>
      <c r="H165" s="206"/>
      <c r="I165" s="206"/>
      <c r="J165" s="221"/>
      <c r="K165" s="222"/>
      <c r="L165" s="221"/>
      <c r="M165" s="222"/>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row>
    <row r="166" spans="3:49" x14ac:dyDescent="0.25">
      <c r="C166" s="214"/>
      <c r="D166" s="36"/>
      <c r="E166" s="36"/>
      <c r="F166" s="36"/>
      <c r="G166" s="206"/>
      <c r="H166" s="206"/>
      <c r="I166" s="206"/>
      <c r="J166" s="221"/>
      <c r="K166" s="222"/>
      <c r="L166" s="221"/>
      <c r="M166" s="222"/>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1"/>
      <c r="AK166" s="221"/>
      <c r="AL166" s="221"/>
      <c r="AM166" s="221"/>
      <c r="AN166" s="221"/>
      <c r="AO166" s="221"/>
      <c r="AP166" s="221"/>
      <c r="AQ166" s="221"/>
      <c r="AR166" s="221"/>
      <c r="AS166" s="221"/>
      <c r="AT166" s="221"/>
      <c r="AU166" s="221"/>
      <c r="AV166" s="221"/>
      <c r="AW166" s="221"/>
    </row>
    <row r="167" spans="3:49" x14ac:dyDescent="0.25">
      <c r="C167" s="214"/>
      <c r="D167" s="36"/>
      <c r="E167" s="36"/>
      <c r="F167" s="214"/>
      <c r="G167" s="206"/>
      <c r="H167" s="206"/>
      <c r="I167" s="206"/>
      <c r="J167" s="221"/>
      <c r="K167" s="222"/>
      <c r="L167" s="221"/>
      <c r="M167" s="222"/>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row>
    <row r="168" spans="3:49" x14ac:dyDescent="0.25">
      <c r="C168" s="214"/>
      <c r="D168" s="36"/>
      <c r="E168" s="36"/>
      <c r="F168" s="214"/>
      <c r="G168" s="206"/>
      <c r="H168" s="206"/>
      <c r="I168" s="206"/>
      <c r="J168" s="221"/>
      <c r="K168" s="222"/>
      <c r="L168" s="221"/>
      <c r="M168" s="222"/>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1"/>
      <c r="AK168" s="221"/>
      <c r="AL168" s="221"/>
      <c r="AM168" s="221"/>
      <c r="AN168" s="221"/>
      <c r="AO168" s="221"/>
      <c r="AP168" s="221"/>
      <c r="AQ168" s="221"/>
      <c r="AR168" s="221"/>
      <c r="AS168" s="221"/>
      <c r="AT168" s="221"/>
      <c r="AU168" s="221"/>
      <c r="AV168" s="221"/>
      <c r="AW168" s="221"/>
    </row>
    <row r="169" spans="3:49" x14ac:dyDescent="0.25">
      <c r="C169" s="214"/>
      <c r="D169" s="36"/>
      <c r="E169" s="36"/>
      <c r="F169" s="36"/>
      <c r="G169" s="206"/>
      <c r="H169" s="206"/>
      <c r="I169" s="206"/>
      <c r="J169" s="221"/>
      <c r="K169" s="222"/>
      <c r="L169" s="221"/>
      <c r="M169" s="222"/>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1"/>
      <c r="AK169" s="221"/>
      <c r="AL169" s="221"/>
      <c r="AM169" s="221"/>
      <c r="AN169" s="221"/>
      <c r="AO169" s="221"/>
      <c r="AP169" s="221"/>
      <c r="AQ169" s="221"/>
      <c r="AR169" s="221"/>
      <c r="AS169" s="221"/>
      <c r="AT169" s="221"/>
      <c r="AU169" s="221"/>
      <c r="AV169" s="221"/>
      <c r="AW169" s="221"/>
    </row>
    <row r="170" spans="3:49" x14ac:dyDescent="0.25">
      <c r="C170" s="214"/>
      <c r="D170" s="36"/>
      <c r="E170" s="36"/>
      <c r="F170" s="214"/>
      <c r="G170" s="206"/>
      <c r="H170" s="206"/>
      <c r="I170" s="206"/>
      <c r="J170" s="221"/>
      <c r="K170" s="222"/>
      <c r="L170" s="221"/>
      <c r="M170" s="222"/>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row>
    <row r="171" spans="3:49" x14ac:dyDescent="0.25">
      <c r="C171" s="214"/>
      <c r="D171" s="36"/>
      <c r="E171" s="36"/>
      <c r="F171" s="214"/>
      <c r="G171" s="206"/>
      <c r="H171" s="206"/>
      <c r="I171" s="206"/>
      <c r="J171" s="221"/>
      <c r="K171" s="222"/>
      <c r="L171" s="221"/>
      <c r="M171" s="222"/>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row>
    <row r="172" spans="3:49" x14ac:dyDescent="0.25">
      <c r="C172" s="214"/>
      <c r="D172" s="36"/>
      <c r="E172" s="36"/>
      <c r="F172" s="36"/>
      <c r="G172" s="206"/>
      <c r="H172" s="206"/>
      <c r="I172" s="206"/>
      <c r="J172" s="221"/>
      <c r="K172" s="222"/>
      <c r="L172" s="221"/>
      <c r="M172" s="222"/>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row>
    <row r="173" spans="3:49" x14ac:dyDescent="0.25">
      <c r="C173" s="214"/>
      <c r="D173" s="36"/>
      <c r="E173" s="36"/>
      <c r="F173" s="214"/>
      <c r="G173" s="206"/>
      <c r="H173" s="206"/>
      <c r="I173" s="206"/>
      <c r="J173" s="221"/>
      <c r="K173" s="222"/>
      <c r="L173" s="221"/>
      <c r="M173" s="222"/>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row>
    <row r="174" spans="3:49" x14ac:dyDescent="0.25">
      <c r="C174" s="214"/>
      <c r="D174" s="36"/>
      <c r="E174" s="36"/>
      <c r="F174" s="214"/>
      <c r="G174" s="206"/>
      <c r="H174" s="206"/>
      <c r="I174" s="206"/>
      <c r="J174" s="221"/>
      <c r="K174" s="222"/>
      <c r="L174" s="221"/>
      <c r="M174" s="222"/>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row>
    <row r="175" spans="3:49" x14ac:dyDescent="0.25">
      <c r="C175" s="214"/>
      <c r="D175" s="36"/>
      <c r="E175" s="36"/>
      <c r="F175" s="36"/>
      <c r="G175" s="206"/>
      <c r="H175" s="206"/>
      <c r="I175" s="206"/>
      <c r="J175" s="221"/>
      <c r="K175" s="222"/>
      <c r="L175" s="221"/>
      <c r="M175" s="222"/>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c r="AI175" s="221"/>
      <c r="AJ175" s="221"/>
      <c r="AK175" s="221"/>
      <c r="AL175" s="221"/>
      <c r="AM175" s="221"/>
      <c r="AN175" s="221"/>
      <c r="AO175" s="221"/>
      <c r="AP175" s="221"/>
      <c r="AQ175" s="221"/>
      <c r="AR175" s="221"/>
      <c r="AS175" s="221"/>
      <c r="AT175" s="221"/>
      <c r="AU175" s="221"/>
      <c r="AV175" s="221"/>
      <c r="AW175" s="221"/>
    </row>
    <row r="176" spans="3:49" x14ac:dyDescent="0.25">
      <c r="C176" s="214"/>
      <c r="D176" s="36"/>
      <c r="E176" s="36"/>
      <c r="F176" s="214"/>
      <c r="G176" s="206"/>
      <c r="H176" s="206"/>
      <c r="I176" s="206"/>
      <c r="J176" s="221"/>
      <c r="K176" s="222"/>
      <c r="L176" s="221"/>
      <c r="M176" s="222"/>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1"/>
    </row>
    <row r="177" spans="3:49" x14ac:dyDescent="0.25">
      <c r="C177" s="214"/>
      <c r="D177" s="36"/>
      <c r="E177" s="36"/>
      <c r="F177" s="214"/>
      <c r="G177" s="206"/>
      <c r="H177" s="206"/>
      <c r="I177" s="206"/>
      <c r="J177" s="221"/>
      <c r="K177" s="222"/>
      <c r="L177" s="221"/>
      <c r="M177" s="222"/>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1"/>
      <c r="AU177" s="221"/>
      <c r="AV177" s="221"/>
      <c r="AW177" s="221"/>
    </row>
    <row r="178" spans="3:49" x14ac:dyDescent="0.25">
      <c r="C178" s="214"/>
      <c r="D178" s="36"/>
      <c r="E178" s="36"/>
      <c r="F178" s="36"/>
      <c r="G178" s="206"/>
      <c r="H178" s="206"/>
      <c r="I178" s="206"/>
      <c r="J178" s="221"/>
      <c r="K178" s="222"/>
      <c r="L178" s="221"/>
      <c r="M178" s="222"/>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row>
    <row r="179" spans="3:49" x14ac:dyDescent="0.25">
      <c r="C179" s="214"/>
      <c r="D179" s="36"/>
      <c r="E179" s="36"/>
      <c r="F179" s="214"/>
      <c r="G179" s="206"/>
      <c r="H179" s="206"/>
      <c r="I179" s="206"/>
      <c r="J179" s="221"/>
      <c r="K179" s="222"/>
      <c r="L179" s="221"/>
      <c r="M179" s="222"/>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row>
    <row r="180" spans="3:49" x14ac:dyDescent="0.25">
      <c r="C180" s="214"/>
      <c r="D180" s="36"/>
      <c r="E180" s="36"/>
      <c r="F180" s="214"/>
      <c r="G180" s="206"/>
      <c r="H180" s="206"/>
      <c r="I180" s="206"/>
      <c r="J180" s="221"/>
      <c r="K180" s="222"/>
      <c r="L180" s="221"/>
      <c r="M180" s="222"/>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row>
    <row r="181" spans="3:49" x14ac:dyDescent="0.25">
      <c r="C181" s="214"/>
      <c r="D181" s="36"/>
      <c r="E181" s="36"/>
      <c r="F181" s="36"/>
      <c r="G181" s="206"/>
      <c r="H181" s="206"/>
      <c r="I181" s="206"/>
      <c r="J181" s="221"/>
      <c r="K181" s="222"/>
      <c r="L181" s="221"/>
      <c r="M181" s="222"/>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221"/>
      <c r="AK181" s="221"/>
      <c r="AL181" s="221"/>
      <c r="AM181" s="221"/>
      <c r="AN181" s="221"/>
      <c r="AO181" s="221"/>
      <c r="AP181" s="221"/>
      <c r="AQ181" s="221"/>
      <c r="AR181" s="221"/>
      <c r="AS181" s="221"/>
      <c r="AT181" s="221"/>
      <c r="AU181" s="221"/>
      <c r="AV181" s="221"/>
      <c r="AW181" s="221"/>
    </row>
    <row r="182" spans="3:49" x14ac:dyDescent="0.25">
      <c r="C182" s="214"/>
      <c r="D182" s="36"/>
      <c r="E182" s="36"/>
      <c r="F182" s="214"/>
      <c r="G182" s="206"/>
      <c r="H182" s="206"/>
      <c r="I182" s="206"/>
      <c r="J182" s="221"/>
      <c r="K182" s="222"/>
      <c r="L182" s="221"/>
      <c r="M182" s="222"/>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row>
    <row r="183" spans="3:49" x14ac:dyDescent="0.25">
      <c r="C183" s="214"/>
      <c r="D183" s="36"/>
      <c r="E183" s="36"/>
      <c r="F183" s="214"/>
      <c r="G183" s="206"/>
      <c r="H183" s="206"/>
      <c r="I183" s="206"/>
      <c r="J183" s="221"/>
      <c r="K183" s="222"/>
      <c r="L183" s="221"/>
      <c r="M183" s="222"/>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row>
    <row r="184" spans="3:49" x14ac:dyDescent="0.25">
      <c r="C184" s="214"/>
      <c r="D184" s="36"/>
      <c r="E184" s="36"/>
      <c r="F184" s="36"/>
      <c r="G184" s="206"/>
      <c r="H184" s="206"/>
      <c r="I184" s="206"/>
      <c r="J184" s="221"/>
      <c r="K184" s="222"/>
      <c r="L184" s="221"/>
      <c r="M184" s="222"/>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row>
    <row r="185" spans="3:49" x14ac:dyDescent="0.25">
      <c r="C185" s="214"/>
      <c r="D185" s="36"/>
      <c r="E185" s="36"/>
      <c r="F185" s="214"/>
      <c r="G185" s="206"/>
      <c r="H185" s="206"/>
      <c r="I185" s="206"/>
      <c r="J185" s="221"/>
      <c r="K185" s="222"/>
      <c r="L185" s="221"/>
      <c r="M185" s="222"/>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row>
    <row r="186" spans="3:49" x14ac:dyDescent="0.25">
      <c r="C186" s="214"/>
      <c r="D186" s="36"/>
      <c r="E186" s="36"/>
      <c r="F186" s="214"/>
      <c r="G186" s="206"/>
      <c r="H186" s="206"/>
      <c r="I186" s="206"/>
      <c r="J186" s="221"/>
      <c r="K186" s="222"/>
      <c r="L186" s="221"/>
      <c r="M186" s="222"/>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row>
    <row r="187" spans="3:49" x14ac:dyDescent="0.25">
      <c r="C187" s="214"/>
      <c r="D187" s="36"/>
      <c r="E187" s="36"/>
      <c r="F187" s="36"/>
      <c r="G187" s="206"/>
      <c r="H187" s="206"/>
      <c r="I187" s="206"/>
      <c r="J187" s="221"/>
      <c r="K187" s="222"/>
      <c r="L187" s="221"/>
      <c r="M187" s="222"/>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row>
    <row r="188" spans="3:49" x14ac:dyDescent="0.25">
      <c r="C188" s="214"/>
      <c r="D188" s="36"/>
      <c r="E188" s="36"/>
      <c r="F188" s="214"/>
      <c r="G188" s="206"/>
      <c r="H188" s="206"/>
      <c r="I188" s="206"/>
      <c r="J188" s="221"/>
      <c r="K188" s="222"/>
      <c r="L188" s="221"/>
      <c r="M188" s="222"/>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row>
    <row r="189" spans="3:49" x14ac:dyDescent="0.25">
      <c r="C189" s="214"/>
      <c r="D189" s="36"/>
      <c r="E189" s="36"/>
      <c r="F189" s="214"/>
      <c r="G189" s="206"/>
      <c r="H189" s="206"/>
      <c r="I189" s="206"/>
      <c r="J189" s="221"/>
      <c r="K189" s="222"/>
      <c r="L189" s="221"/>
      <c r="M189" s="222"/>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row>
    <row r="190" spans="3:49" x14ac:dyDescent="0.25">
      <c r="C190" s="214"/>
      <c r="D190" s="36"/>
      <c r="E190" s="36"/>
      <c r="F190" s="36"/>
      <c r="G190" s="206"/>
      <c r="H190" s="206"/>
      <c r="I190" s="206"/>
      <c r="J190" s="221"/>
      <c r="K190" s="222"/>
      <c r="L190" s="221"/>
      <c r="M190" s="222"/>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row>
    <row r="191" spans="3:49" x14ac:dyDescent="0.25">
      <c r="C191" s="214"/>
      <c r="D191" s="36"/>
      <c r="E191" s="36"/>
      <c r="F191" s="214"/>
      <c r="G191" s="206"/>
      <c r="H191" s="206"/>
      <c r="I191" s="206"/>
      <c r="J191" s="221"/>
      <c r="K191" s="222"/>
      <c r="L191" s="221"/>
      <c r="M191" s="222"/>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row>
    <row r="192" spans="3:49" x14ac:dyDescent="0.25">
      <c r="C192" s="214"/>
      <c r="D192" s="36"/>
      <c r="E192" s="36"/>
      <c r="F192" s="214"/>
      <c r="G192" s="206"/>
      <c r="H192" s="206"/>
      <c r="I192" s="206"/>
      <c r="J192" s="221"/>
      <c r="K192" s="222"/>
      <c r="L192" s="221"/>
      <c r="M192" s="222"/>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row>
    <row r="193" spans="3:49" x14ac:dyDescent="0.25">
      <c r="C193" s="214"/>
      <c r="D193" s="36"/>
      <c r="E193" s="36"/>
      <c r="F193" s="36"/>
      <c r="G193" s="206"/>
      <c r="H193" s="206"/>
      <c r="I193" s="206"/>
      <c r="J193" s="221"/>
      <c r="K193" s="222"/>
      <c r="L193" s="221"/>
      <c r="M193" s="222"/>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row>
    <row r="194" spans="3:49" x14ac:dyDescent="0.25">
      <c r="C194" s="214"/>
      <c r="D194" s="36"/>
      <c r="E194" s="36"/>
      <c r="F194" s="214"/>
      <c r="G194" s="206"/>
      <c r="H194" s="206"/>
      <c r="I194" s="206"/>
      <c r="J194" s="221"/>
      <c r="K194" s="222"/>
      <c r="L194" s="221"/>
      <c r="M194" s="222"/>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row>
    <row r="195" spans="3:49" x14ac:dyDescent="0.25">
      <c r="C195" s="214"/>
      <c r="D195" s="36"/>
      <c r="E195" s="36"/>
      <c r="F195" s="214"/>
      <c r="G195" s="206"/>
      <c r="H195" s="206"/>
      <c r="I195" s="206"/>
      <c r="J195" s="221"/>
      <c r="K195" s="222"/>
      <c r="L195" s="221"/>
      <c r="M195" s="222"/>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row>
    <row r="196" spans="3:49" x14ac:dyDescent="0.25">
      <c r="C196" s="214"/>
      <c r="D196" s="36"/>
      <c r="E196" s="36"/>
      <c r="F196" s="36"/>
      <c r="G196" s="206"/>
      <c r="H196" s="206"/>
      <c r="I196" s="206"/>
      <c r="J196" s="221"/>
      <c r="K196" s="222"/>
      <c r="L196" s="221"/>
      <c r="M196" s="222"/>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1"/>
    </row>
    <row r="197" spans="3:49" x14ac:dyDescent="0.25">
      <c r="C197" s="214"/>
      <c r="D197" s="36"/>
      <c r="E197" s="36"/>
      <c r="F197" s="214"/>
      <c r="G197" s="206"/>
      <c r="H197" s="206"/>
      <c r="I197" s="206"/>
      <c r="J197" s="221"/>
      <c r="K197" s="222"/>
      <c r="L197" s="221"/>
      <c r="M197" s="222"/>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row>
    <row r="198" spans="3:49" x14ac:dyDescent="0.25">
      <c r="C198" s="214"/>
      <c r="D198" s="36"/>
      <c r="E198" s="36"/>
      <c r="F198" s="214"/>
      <c r="G198" s="206"/>
      <c r="H198" s="206"/>
      <c r="I198" s="206"/>
      <c r="J198" s="221"/>
      <c r="K198" s="222"/>
      <c r="L198" s="221"/>
      <c r="M198" s="222"/>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row>
    <row r="199" spans="3:49" x14ac:dyDescent="0.25">
      <c r="C199" s="214"/>
      <c r="D199" s="36"/>
      <c r="E199" s="36"/>
      <c r="F199" s="36"/>
      <c r="G199" s="206"/>
      <c r="H199" s="206"/>
      <c r="I199" s="206"/>
      <c r="J199" s="221"/>
      <c r="K199" s="222"/>
      <c r="L199" s="221"/>
      <c r="M199" s="222"/>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row>
    <row r="200" spans="3:49" x14ac:dyDescent="0.25">
      <c r="C200" s="214"/>
      <c r="D200" s="36"/>
      <c r="E200" s="36"/>
      <c r="F200" s="214"/>
      <c r="G200" s="206"/>
      <c r="H200" s="206"/>
      <c r="I200" s="206"/>
      <c r="J200" s="221"/>
      <c r="K200" s="222"/>
      <c r="L200" s="221"/>
      <c r="M200" s="222"/>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row>
    <row r="201" spans="3:49" x14ac:dyDescent="0.25">
      <c r="C201" s="214"/>
      <c r="D201" s="36"/>
      <c r="E201" s="36"/>
      <c r="F201" s="214"/>
      <c r="G201" s="206"/>
      <c r="H201" s="206"/>
      <c r="I201" s="206"/>
      <c r="J201" s="221"/>
      <c r="K201" s="222"/>
      <c r="L201" s="221"/>
      <c r="M201" s="222"/>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row>
    <row r="202" spans="3:49" x14ac:dyDescent="0.25">
      <c r="C202" s="214"/>
      <c r="D202" s="36"/>
      <c r="E202" s="36"/>
      <c r="F202" s="36"/>
      <c r="G202" s="206"/>
      <c r="H202" s="206"/>
      <c r="I202" s="206"/>
      <c r="J202" s="221"/>
      <c r="K202" s="222"/>
      <c r="L202" s="221"/>
      <c r="M202" s="222"/>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row>
    <row r="203" spans="3:49" x14ac:dyDescent="0.25">
      <c r="C203" s="214"/>
      <c r="D203" s="36"/>
      <c r="E203" s="36"/>
      <c r="F203" s="214"/>
      <c r="G203" s="206"/>
      <c r="H203" s="206"/>
      <c r="I203" s="206"/>
      <c r="J203" s="221"/>
      <c r="K203" s="222"/>
      <c r="L203" s="221"/>
      <c r="M203" s="222"/>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row>
    <row r="204" spans="3:49" x14ac:dyDescent="0.25">
      <c r="C204" s="214"/>
      <c r="D204" s="36"/>
      <c r="E204" s="36"/>
      <c r="F204" s="214"/>
      <c r="G204" s="206"/>
      <c r="H204" s="206"/>
      <c r="I204" s="206"/>
      <c r="J204" s="221"/>
      <c r="K204" s="222"/>
      <c r="L204" s="221"/>
      <c r="M204" s="222"/>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row>
    <row r="205" spans="3:49" x14ac:dyDescent="0.25">
      <c r="C205" s="214"/>
      <c r="D205" s="36"/>
      <c r="E205" s="36"/>
      <c r="F205" s="36"/>
      <c r="G205" s="206"/>
      <c r="H205" s="206"/>
      <c r="I205" s="206"/>
      <c r="J205" s="221"/>
      <c r="K205" s="222"/>
      <c r="L205" s="221"/>
      <c r="M205" s="222"/>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21"/>
      <c r="AW205" s="221"/>
    </row>
    <row r="206" spans="3:49" x14ac:dyDescent="0.25">
      <c r="C206" s="214"/>
      <c r="D206" s="36"/>
      <c r="E206" s="36"/>
      <c r="F206" s="214"/>
      <c r="G206" s="206"/>
      <c r="H206" s="206"/>
      <c r="I206" s="206"/>
      <c r="J206" s="221"/>
      <c r="K206" s="222"/>
      <c r="L206" s="221"/>
      <c r="M206" s="222"/>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21"/>
      <c r="AW206" s="221"/>
    </row>
    <row r="207" spans="3:49" x14ac:dyDescent="0.25">
      <c r="C207" s="214"/>
      <c r="D207" s="36"/>
      <c r="E207" s="36"/>
      <c r="F207" s="214"/>
      <c r="G207" s="206"/>
      <c r="H207" s="206"/>
      <c r="I207" s="206"/>
      <c r="J207" s="221"/>
      <c r="K207" s="222"/>
      <c r="L207" s="221"/>
      <c r="M207" s="222"/>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row>
    <row r="208" spans="3:49" x14ac:dyDescent="0.25">
      <c r="C208" s="214"/>
      <c r="D208" s="36"/>
      <c r="E208" s="36"/>
      <c r="F208" s="36"/>
      <c r="G208" s="206"/>
      <c r="H208" s="206"/>
      <c r="I208" s="206"/>
      <c r="J208" s="221"/>
      <c r="K208" s="222"/>
      <c r="L208" s="221"/>
      <c r="M208" s="222"/>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c r="AI208" s="221"/>
      <c r="AJ208" s="221"/>
      <c r="AK208" s="221"/>
      <c r="AL208" s="221"/>
      <c r="AM208" s="221"/>
      <c r="AN208" s="221"/>
      <c r="AO208" s="221"/>
      <c r="AP208" s="221"/>
      <c r="AQ208" s="221"/>
      <c r="AR208" s="221"/>
      <c r="AS208" s="221"/>
      <c r="AT208" s="221"/>
      <c r="AU208" s="221"/>
      <c r="AV208" s="221"/>
      <c r="AW208" s="221"/>
    </row>
    <row r="209" spans="3:49" x14ac:dyDescent="0.25">
      <c r="C209" s="214"/>
      <c r="D209" s="36"/>
      <c r="E209" s="36"/>
      <c r="F209" s="214"/>
      <c r="G209" s="206"/>
      <c r="H209" s="206"/>
      <c r="I209" s="206"/>
      <c r="J209" s="221"/>
      <c r="K209" s="222"/>
      <c r="L209" s="221"/>
      <c r="M209" s="222"/>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row>
    <row r="210" spans="3:49" x14ac:dyDescent="0.25">
      <c r="C210" s="214"/>
      <c r="D210" s="36"/>
      <c r="E210" s="36"/>
      <c r="F210" s="214"/>
      <c r="G210" s="206"/>
      <c r="H210" s="206"/>
      <c r="I210" s="206"/>
      <c r="J210" s="221"/>
      <c r="K210" s="222"/>
      <c r="L210" s="221"/>
      <c r="M210" s="222"/>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row>
    <row r="211" spans="3:49" x14ac:dyDescent="0.25">
      <c r="C211" s="214"/>
      <c r="D211" s="36"/>
      <c r="E211" s="36"/>
      <c r="F211" s="36"/>
      <c r="G211" s="206"/>
      <c r="H211" s="206"/>
      <c r="I211" s="206"/>
      <c r="J211" s="221"/>
      <c r="K211" s="222"/>
      <c r="L211" s="221"/>
      <c r="M211" s="222"/>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row>
    <row r="212" spans="3:49" x14ac:dyDescent="0.25">
      <c r="C212" s="214"/>
      <c r="D212" s="36"/>
      <c r="E212" s="36"/>
      <c r="F212" s="214"/>
      <c r="G212" s="206"/>
      <c r="H212" s="206"/>
      <c r="I212" s="206"/>
      <c r="J212" s="221"/>
      <c r="K212" s="222"/>
      <c r="L212" s="221"/>
      <c r="M212" s="222"/>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row>
    <row r="213" spans="3:49" x14ac:dyDescent="0.25">
      <c r="C213" s="214"/>
      <c r="D213" s="36"/>
      <c r="E213" s="36"/>
      <c r="F213" s="214"/>
      <c r="G213" s="206"/>
      <c r="H213" s="206"/>
      <c r="I213" s="206"/>
      <c r="J213" s="221"/>
      <c r="K213" s="222"/>
      <c r="L213" s="221"/>
      <c r="M213" s="222"/>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row>
    <row r="214" spans="3:49" x14ac:dyDescent="0.25">
      <c r="C214" s="214"/>
      <c r="D214" s="36"/>
      <c r="E214" s="36"/>
      <c r="F214" s="36"/>
      <c r="G214" s="206"/>
      <c r="H214" s="206"/>
      <c r="I214" s="206"/>
      <c r="J214" s="221"/>
      <c r="K214" s="222"/>
      <c r="L214" s="221"/>
      <c r="M214" s="222"/>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c r="AI214" s="221"/>
      <c r="AJ214" s="221"/>
      <c r="AK214" s="221"/>
      <c r="AL214" s="221"/>
      <c r="AM214" s="221"/>
      <c r="AN214" s="221"/>
      <c r="AO214" s="221"/>
      <c r="AP214" s="221"/>
      <c r="AQ214" s="221"/>
      <c r="AR214" s="221"/>
      <c r="AS214" s="221"/>
      <c r="AT214" s="221"/>
      <c r="AU214" s="221"/>
      <c r="AV214" s="221"/>
      <c r="AW214" s="221"/>
    </row>
    <row r="215" spans="3:49" x14ac:dyDescent="0.25">
      <c r="C215" s="214"/>
      <c r="D215" s="36"/>
      <c r="E215" s="36"/>
      <c r="F215" s="214"/>
      <c r="G215" s="206"/>
      <c r="H215" s="206"/>
      <c r="I215" s="206"/>
      <c r="J215" s="221"/>
      <c r="K215" s="222"/>
      <c r="L215" s="221"/>
      <c r="M215" s="222"/>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c r="AI215" s="221"/>
      <c r="AJ215" s="221"/>
      <c r="AK215" s="221"/>
      <c r="AL215" s="221"/>
      <c r="AM215" s="221"/>
      <c r="AN215" s="221"/>
      <c r="AO215" s="221"/>
      <c r="AP215" s="221"/>
      <c r="AQ215" s="221"/>
      <c r="AR215" s="221"/>
      <c r="AS215" s="221"/>
      <c r="AT215" s="221"/>
      <c r="AU215" s="221"/>
      <c r="AV215" s="221"/>
      <c r="AW215" s="221"/>
    </row>
    <row r="216" spans="3:49" x14ac:dyDescent="0.25">
      <c r="C216" s="214"/>
      <c r="D216" s="36"/>
      <c r="E216" s="36"/>
      <c r="F216" s="214"/>
      <c r="G216" s="206"/>
      <c r="H216" s="206"/>
      <c r="I216" s="206"/>
      <c r="J216" s="221"/>
      <c r="K216" s="222"/>
      <c r="L216" s="221"/>
      <c r="M216" s="222"/>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c r="AI216" s="221"/>
      <c r="AJ216" s="221"/>
      <c r="AK216" s="221"/>
      <c r="AL216" s="221"/>
      <c r="AM216" s="221"/>
      <c r="AN216" s="221"/>
      <c r="AO216" s="221"/>
      <c r="AP216" s="221"/>
      <c r="AQ216" s="221"/>
      <c r="AR216" s="221"/>
      <c r="AS216" s="221"/>
      <c r="AT216" s="221"/>
      <c r="AU216" s="221"/>
      <c r="AV216" s="221"/>
      <c r="AW216" s="221"/>
    </row>
    <row r="217" spans="3:49" x14ac:dyDescent="0.25">
      <c r="C217" s="214"/>
      <c r="D217" s="36"/>
      <c r="E217" s="36"/>
      <c r="F217" s="36"/>
      <c r="G217" s="206"/>
      <c r="H217" s="206"/>
      <c r="I217" s="206"/>
      <c r="J217" s="221"/>
      <c r="K217" s="222"/>
      <c r="L217" s="221"/>
      <c r="M217" s="222"/>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row>
    <row r="218" spans="3:49" x14ac:dyDescent="0.25">
      <c r="C218" s="214"/>
      <c r="D218" s="36"/>
      <c r="E218" s="36"/>
      <c r="F218" s="214"/>
      <c r="G218" s="206"/>
      <c r="H218" s="206"/>
      <c r="I218" s="206"/>
      <c r="J218" s="221"/>
      <c r="K218" s="222"/>
      <c r="L218" s="221"/>
      <c r="M218" s="222"/>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c r="AI218" s="221"/>
      <c r="AJ218" s="221"/>
      <c r="AK218" s="221"/>
      <c r="AL218" s="221"/>
      <c r="AM218" s="221"/>
      <c r="AN218" s="221"/>
      <c r="AO218" s="221"/>
      <c r="AP218" s="221"/>
      <c r="AQ218" s="221"/>
      <c r="AR218" s="221"/>
      <c r="AS218" s="221"/>
      <c r="AT218" s="221"/>
      <c r="AU218" s="221"/>
      <c r="AV218" s="221"/>
      <c r="AW218" s="221"/>
    </row>
    <row r="219" spans="3:49" x14ac:dyDescent="0.25">
      <c r="C219" s="214"/>
      <c r="D219" s="36"/>
      <c r="E219" s="36"/>
      <c r="F219" s="214"/>
      <c r="G219" s="206"/>
      <c r="H219" s="206"/>
      <c r="I219" s="206"/>
      <c r="J219" s="221"/>
      <c r="K219" s="222"/>
      <c r="L219" s="221"/>
      <c r="M219" s="222"/>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row>
    <row r="220" spans="3:49" x14ac:dyDescent="0.25">
      <c r="C220" s="214"/>
      <c r="D220" s="36"/>
      <c r="E220" s="36"/>
      <c r="F220" s="36"/>
      <c r="G220" s="206"/>
      <c r="H220" s="206"/>
      <c r="I220" s="206"/>
      <c r="J220" s="221"/>
      <c r="K220" s="222"/>
      <c r="L220" s="221"/>
      <c r="M220" s="222"/>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row>
    <row r="221" spans="3:49" x14ac:dyDescent="0.25">
      <c r="C221" s="214"/>
      <c r="D221" s="36"/>
      <c r="E221" s="36"/>
      <c r="F221" s="214"/>
      <c r="G221" s="206"/>
      <c r="H221" s="206"/>
      <c r="I221" s="206"/>
      <c r="J221" s="221"/>
      <c r="K221" s="222"/>
      <c r="L221" s="221"/>
      <c r="M221" s="222"/>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c r="AI221" s="221"/>
      <c r="AJ221" s="221"/>
      <c r="AK221" s="221"/>
      <c r="AL221" s="221"/>
      <c r="AM221" s="221"/>
      <c r="AN221" s="221"/>
      <c r="AO221" s="221"/>
      <c r="AP221" s="221"/>
      <c r="AQ221" s="221"/>
      <c r="AR221" s="221"/>
      <c r="AS221" s="221"/>
      <c r="AT221" s="221"/>
      <c r="AU221" s="221"/>
      <c r="AV221" s="221"/>
      <c r="AW221" s="221"/>
    </row>
    <row r="222" spans="3:49" x14ac:dyDescent="0.25">
      <c r="C222" s="214"/>
      <c r="D222" s="36"/>
      <c r="E222" s="36"/>
      <c r="F222" s="214"/>
      <c r="G222" s="206"/>
      <c r="H222" s="206"/>
      <c r="I222" s="206"/>
      <c r="J222" s="221"/>
      <c r="K222" s="222"/>
      <c r="L222" s="221"/>
      <c r="M222" s="222"/>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c r="AI222" s="221"/>
      <c r="AJ222" s="221"/>
      <c r="AK222" s="221"/>
      <c r="AL222" s="221"/>
      <c r="AM222" s="221"/>
      <c r="AN222" s="221"/>
      <c r="AO222" s="221"/>
      <c r="AP222" s="221"/>
      <c r="AQ222" s="221"/>
      <c r="AR222" s="221"/>
      <c r="AS222" s="221"/>
      <c r="AT222" s="221"/>
      <c r="AU222" s="221"/>
      <c r="AV222" s="221"/>
      <c r="AW222" s="221"/>
    </row>
    <row r="223" spans="3:49" x14ac:dyDescent="0.25">
      <c r="C223" s="214"/>
      <c r="D223" s="36"/>
      <c r="E223" s="36"/>
      <c r="F223" s="36"/>
      <c r="G223" s="206"/>
      <c r="H223" s="206"/>
      <c r="I223" s="206"/>
      <c r="J223" s="221"/>
      <c r="K223" s="222"/>
      <c r="L223" s="221"/>
      <c r="M223" s="222"/>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row>
    <row r="224" spans="3:49" x14ac:dyDescent="0.25">
      <c r="C224" s="214"/>
      <c r="D224" s="36"/>
      <c r="E224" s="36"/>
      <c r="F224" s="214"/>
      <c r="G224" s="206"/>
      <c r="H224" s="206"/>
      <c r="I224" s="206"/>
      <c r="J224" s="221"/>
      <c r="K224" s="222"/>
      <c r="L224" s="221"/>
      <c r="M224" s="222"/>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row>
    <row r="225" spans="3:49" x14ac:dyDescent="0.25">
      <c r="C225" s="214"/>
      <c r="D225" s="36"/>
      <c r="E225" s="36"/>
      <c r="F225" s="214"/>
      <c r="G225" s="206"/>
      <c r="H225" s="206"/>
      <c r="I225" s="206"/>
      <c r="J225" s="221"/>
      <c r="K225" s="222"/>
      <c r="L225" s="221"/>
      <c r="M225" s="222"/>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c r="AS225" s="221"/>
      <c r="AT225" s="221"/>
      <c r="AU225" s="221"/>
      <c r="AV225" s="221"/>
      <c r="AW225" s="221"/>
    </row>
    <row r="226" spans="3:49" x14ac:dyDescent="0.25">
      <c r="C226" s="214"/>
      <c r="D226" s="36"/>
      <c r="E226" s="36"/>
      <c r="F226" s="36"/>
      <c r="G226" s="206"/>
      <c r="H226" s="206"/>
      <c r="I226" s="206"/>
      <c r="J226" s="221"/>
      <c r="K226" s="222"/>
      <c r="L226" s="221"/>
      <c r="M226" s="222"/>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c r="AS226" s="221"/>
      <c r="AT226" s="221"/>
      <c r="AU226" s="221"/>
      <c r="AV226" s="221"/>
      <c r="AW226" s="221"/>
    </row>
    <row r="227" spans="3:49" x14ac:dyDescent="0.25">
      <c r="C227" s="214"/>
      <c r="D227" s="36"/>
      <c r="E227" s="36"/>
      <c r="F227" s="214"/>
      <c r="G227" s="206"/>
      <c r="H227" s="206"/>
      <c r="I227" s="206"/>
      <c r="J227" s="221"/>
      <c r="K227" s="222"/>
      <c r="L227" s="221"/>
      <c r="M227" s="222"/>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c r="AI227" s="221"/>
      <c r="AJ227" s="221"/>
      <c r="AK227" s="221"/>
      <c r="AL227" s="221"/>
      <c r="AM227" s="221"/>
      <c r="AN227" s="221"/>
      <c r="AO227" s="221"/>
      <c r="AP227" s="221"/>
      <c r="AQ227" s="221"/>
      <c r="AR227" s="221"/>
      <c r="AS227" s="221"/>
      <c r="AT227" s="221"/>
      <c r="AU227" s="221"/>
      <c r="AV227" s="221"/>
      <c r="AW227" s="221"/>
    </row>
    <row r="228" spans="3:49" x14ac:dyDescent="0.25">
      <c r="C228" s="214"/>
      <c r="D228" s="36"/>
      <c r="E228" s="36"/>
      <c r="F228" s="214"/>
      <c r="G228" s="206"/>
      <c r="H228" s="206"/>
      <c r="I228" s="206"/>
      <c r="J228" s="221"/>
      <c r="K228" s="222"/>
      <c r="L228" s="221"/>
      <c r="M228" s="222"/>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c r="AI228" s="221"/>
      <c r="AJ228" s="221"/>
      <c r="AK228" s="221"/>
      <c r="AL228" s="221"/>
      <c r="AM228" s="221"/>
      <c r="AN228" s="221"/>
      <c r="AO228" s="221"/>
      <c r="AP228" s="221"/>
      <c r="AQ228" s="221"/>
      <c r="AR228" s="221"/>
      <c r="AS228" s="221"/>
      <c r="AT228" s="221"/>
      <c r="AU228" s="221"/>
      <c r="AV228" s="221"/>
      <c r="AW228" s="221"/>
    </row>
    <row r="229" spans="3:49" x14ac:dyDescent="0.25">
      <c r="C229" s="214"/>
      <c r="D229" s="36"/>
      <c r="E229" s="36"/>
      <c r="F229" s="36"/>
      <c r="G229" s="206"/>
      <c r="H229" s="206"/>
      <c r="I229" s="206"/>
      <c r="J229" s="221"/>
      <c r="K229" s="222"/>
      <c r="L229" s="221"/>
      <c r="M229" s="222"/>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c r="AI229" s="221"/>
      <c r="AJ229" s="221"/>
      <c r="AK229" s="221"/>
      <c r="AL229" s="221"/>
      <c r="AM229" s="221"/>
      <c r="AN229" s="221"/>
      <c r="AO229" s="221"/>
      <c r="AP229" s="221"/>
      <c r="AQ229" s="221"/>
      <c r="AR229" s="221"/>
      <c r="AS229" s="221"/>
      <c r="AT229" s="221"/>
      <c r="AU229" s="221"/>
      <c r="AV229" s="221"/>
      <c r="AW229" s="221"/>
    </row>
    <row r="230" spans="3:49" x14ac:dyDescent="0.25">
      <c r="C230" s="214"/>
      <c r="D230" s="36"/>
      <c r="E230" s="36"/>
      <c r="F230" s="214"/>
      <c r="G230" s="206"/>
      <c r="H230" s="206"/>
      <c r="I230" s="206"/>
      <c r="J230" s="221"/>
      <c r="K230" s="222"/>
      <c r="L230" s="221"/>
      <c r="M230" s="222"/>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c r="AI230" s="221"/>
      <c r="AJ230" s="221"/>
      <c r="AK230" s="221"/>
      <c r="AL230" s="221"/>
      <c r="AM230" s="221"/>
      <c r="AN230" s="221"/>
      <c r="AO230" s="221"/>
      <c r="AP230" s="221"/>
      <c r="AQ230" s="221"/>
      <c r="AR230" s="221"/>
      <c r="AS230" s="221"/>
      <c r="AT230" s="221"/>
      <c r="AU230" s="221"/>
      <c r="AV230" s="221"/>
      <c r="AW230" s="221"/>
    </row>
    <row r="231" spans="3:49" x14ac:dyDescent="0.25">
      <c r="C231" s="214"/>
      <c r="D231" s="36"/>
      <c r="E231" s="36"/>
      <c r="F231" s="214"/>
      <c r="G231" s="206"/>
      <c r="H231" s="206"/>
      <c r="I231" s="206"/>
      <c r="J231" s="221"/>
      <c r="K231" s="222"/>
      <c r="L231" s="221"/>
      <c r="M231" s="222"/>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c r="AI231" s="221"/>
      <c r="AJ231" s="221"/>
      <c r="AK231" s="221"/>
      <c r="AL231" s="221"/>
      <c r="AM231" s="221"/>
      <c r="AN231" s="221"/>
      <c r="AO231" s="221"/>
      <c r="AP231" s="221"/>
      <c r="AQ231" s="221"/>
      <c r="AR231" s="221"/>
      <c r="AS231" s="221"/>
      <c r="AT231" s="221"/>
      <c r="AU231" s="221"/>
      <c r="AV231" s="221"/>
      <c r="AW231" s="221"/>
    </row>
    <row r="232" spans="3:49" x14ac:dyDescent="0.25">
      <c r="C232" s="214"/>
      <c r="D232" s="36"/>
      <c r="E232" s="36"/>
      <c r="F232" s="36"/>
      <c r="G232" s="206"/>
      <c r="H232" s="206"/>
      <c r="I232" s="206"/>
      <c r="J232" s="221"/>
      <c r="K232" s="222"/>
      <c r="L232" s="221"/>
      <c r="M232" s="222"/>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row>
    <row r="233" spans="3:49" x14ac:dyDescent="0.25">
      <c r="C233" s="214"/>
      <c r="D233" s="36"/>
      <c r="E233" s="36"/>
      <c r="F233" s="214"/>
      <c r="G233" s="206"/>
      <c r="H233" s="206"/>
      <c r="I233" s="206"/>
      <c r="J233" s="221"/>
      <c r="K233" s="222"/>
      <c r="L233" s="221"/>
      <c r="M233" s="222"/>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c r="AI233" s="221"/>
      <c r="AJ233" s="221"/>
      <c r="AK233" s="221"/>
      <c r="AL233" s="221"/>
      <c r="AM233" s="221"/>
      <c r="AN233" s="221"/>
      <c r="AO233" s="221"/>
      <c r="AP233" s="221"/>
      <c r="AQ233" s="221"/>
      <c r="AR233" s="221"/>
      <c r="AS233" s="221"/>
      <c r="AT233" s="221"/>
      <c r="AU233" s="221"/>
      <c r="AV233" s="221"/>
      <c r="AW233" s="221"/>
    </row>
    <row r="234" spans="3:49" x14ac:dyDescent="0.25">
      <c r="C234" s="214"/>
      <c r="D234" s="36"/>
      <c r="E234" s="36"/>
      <c r="F234" s="214"/>
      <c r="G234" s="206"/>
      <c r="H234" s="206"/>
      <c r="I234" s="206"/>
      <c r="J234" s="221"/>
      <c r="K234" s="222"/>
      <c r="L234" s="221"/>
      <c r="M234" s="222"/>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c r="AR234" s="221"/>
      <c r="AS234" s="221"/>
      <c r="AT234" s="221"/>
      <c r="AU234" s="221"/>
      <c r="AV234" s="221"/>
      <c r="AW234" s="221"/>
    </row>
    <row r="235" spans="3:49" x14ac:dyDescent="0.25">
      <c r="C235" s="214"/>
      <c r="D235" s="36"/>
      <c r="E235" s="36"/>
      <c r="F235" s="36"/>
      <c r="G235" s="206"/>
      <c r="H235" s="206"/>
      <c r="I235" s="206"/>
      <c r="J235" s="221"/>
      <c r="K235" s="222"/>
      <c r="L235" s="221"/>
      <c r="M235" s="222"/>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c r="AI235" s="221"/>
      <c r="AJ235" s="221"/>
      <c r="AK235" s="221"/>
      <c r="AL235" s="221"/>
      <c r="AM235" s="221"/>
      <c r="AN235" s="221"/>
      <c r="AO235" s="221"/>
      <c r="AP235" s="221"/>
      <c r="AQ235" s="221"/>
      <c r="AR235" s="221"/>
      <c r="AS235" s="221"/>
      <c r="AT235" s="221"/>
      <c r="AU235" s="221"/>
      <c r="AV235" s="221"/>
      <c r="AW235" s="221"/>
    </row>
    <row r="236" spans="3:49" x14ac:dyDescent="0.25">
      <c r="C236" s="214"/>
      <c r="D236" s="36"/>
      <c r="E236" s="36"/>
      <c r="F236" s="214"/>
      <c r="G236" s="206"/>
      <c r="H236" s="206"/>
      <c r="I236" s="206"/>
      <c r="J236" s="221"/>
      <c r="K236" s="222"/>
      <c r="L236" s="221"/>
      <c r="M236" s="222"/>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c r="AI236" s="221"/>
      <c r="AJ236" s="221"/>
      <c r="AK236" s="221"/>
      <c r="AL236" s="221"/>
      <c r="AM236" s="221"/>
      <c r="AN236" s="221"/>
      <c r="AO236" s="221"/>
      <c r="AP236" s="221"/>
      <c r="AQ236" s="221"/>
      <c r="AR236" s="221"/>
      <c r="AS236" s="221"/>
      <c r="AT236" s="221"/>
      <c r="AU236" s="221"/>
      <c r="AV236" s="221"/>
      <c r="AW236" s="221"/>
    </row>
    <row r="237" spans="3:49" x14ac:dyDescent="0.25">
      <c r="C237" s="214"/>
      <c r="D237" s="36"/>
      <c r="E237" s="36"/>
      <c r="F237" s="214"/>
      <c r="G237" s="206"/>
      <c r="H237" s="206"/>
      <c r="I237" s="206"/>
      <c r="J237" s="221"/>
      <c r="K237" s="222"/>
      <c r="L237" s="221"/>
      <c r="M237" s="222"/>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1"/>
      <c r="AW237" s="221"/>
    </row>
    <row r="238" spans="3:49" x14ac:dyDescent="0.25">
      <c r="C238" s="214"/>
      <c r="D238" s="36"/>
      <c r="E238" s="36"/>
      <c r="F238" s="36"/>
      <c r="G238" s="206"/>
      <c r="H238" s="206"/>
      <c r="I238" s="206"/>
      <c r="J238" s="221"/>
      <c r="K238" s="222"/>
      <c r="L238" s="221"/>
      <c r="M238" s="222"/>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row>
    <row r="239" spans="3:49" x14ac:dyDescent="0.25">
      <c r="C239" s="214"/>
      <c r="D239" s="36"/>
      <c r="E239" s="36"/>
      <c r="F239" s="214"/>
      <c r="G239" s="206"/>
      <c r="H239" s="206"/>
      <c r="I239" s="206"/>
      <c r="J239" s="221"/>
      <c r="K239" s="222"/>
      <c r="L239" s="221"/>
      <c r="M239" s="222"/>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c r="AI239" s="221"/>
      <c r="AJ239" s="221"/>
      <c r="AK239" s="221"/>
      <c r="AL239" s="221"/>
      <c r="AM239" s="221"/>
      <c r="AN239" s="221"/>
      <c r="AO239" s="221"/>
      <c r="AP239" s="221"/>
      <c r="AQ239" s="221"/>
      <c r="AR239" s="221"/>
      <c r="AS239" s="221"/>
      <c r="AT239" s="221"/>
      <c r="AU239" s="221"/>
      <c r="AV239" s="221"/>
      <c r="AW239" s="221"/>
    </row>
    <row r="240" spans="3:49" x14ac:dyDescent="0.25">
      <c r="C240" s="214"/>
      <c r="D240" s="36"/>
      <c r="E240" s="36"/>
      <c r="F240" s="214"/>
      <c r="G240" s="206"/>
      <c r="H240" s="206"/>
      <c r="I240" s="206"/>
      <c r="J240" s="221"/>
      <c r="K240" s="222"/>
      <c r="L240" s="221"/>
      <c r="M240" s="222"/>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c r="AI240" s="221"/>
      <c r="AJ240" s="221"/>
      <c r="AK240" s="221"/>
      <c r="AL240" s="221"/>
      <c r="AM240" s="221"/>
      <c r="AN240" s="221"/>
      <c r="AO240" s="221"/>
      <c r="AP240" s="221"/>
      <c r="AQ240" s="221"/>
      <c r="AR240" s="221"/>
      <c r="AS240" s="221"/>
      <c r="AT240" s="221"/>
      <c r="AU240" s="221"/>
      <c r="AV240" s="221"/>
      <c r="AW240" s="221"/>
    </row>
    <row r="241" spans="3:49" x14ac:dyDescent="0.25">
      <c r="C241" s="214"/>
      <c r="D241" s="36"/>
      <c r="E241" s="36"/>
      <c r="F241" s="36"/>
      <c r="G241" s="206"/>
      <c r="H241" s="206"/>
      <c r="I241" s="206"/>
      <c r="J241" s="221"/>
      <c r="K241" s="222"/>
      <c r="L241" s="221"/>
      <c r="M241" s="222"/>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c r="AI241" s="221"/>
      <c r="AJ241" s="221"/>
      <c r="AK241" s="221"/>
      <c r="AL241" s="221"/>
      <c r="AM241" s="221"/>
      <c r="AN241" s="221"/>
      <c r="AO241" s="221"/>
      <c r="AP241" s="221"/>
      <c r="AQ241" s="221"/>
      <c r="AR241" s="221"/>
      <c r="AS241" s="221"/>
      <c r="AT241" s="221"/>
      <c r="AU241" s="221"/>
      <c r="AV241" s="221"/>
      <c r="AW241" s="221"/>
    </row>
    <row r="242" spans="3:49" x14ac:dyDescent="0.25">
      <c r="C242" s="214"/>
      <c r="D242" s="36"/>
      <c r="E242" s="36"/>
      <c r="F242" s="214"/>
      <c r="G242" s="206"/>
      <c r="H242" s="206"/>
      <c r="I242" s="206"/>
      <c r="J242" s="221"/>
      <c r="K242" s="222"/>
      <c r="L242" s="221"/>
      <c r="M242" s="222"/>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c r="AI242" s="221"/>
      <c r="AJ242" s="221"/>
      <c r="AK242" s="221"/>
      <c r="AL242" s="221"/>
      <c r="AM242" s="221"/>
      <c r="AN242" s="221"/>
      <c r="AO242" s="221"/>
      <c r="AP242" s="221"/>
      <c r="AQ242" s="221"/>
      <c r="AR242" s="221"/>
      <c r="AS242" s="221"/>
      <c r="AT242" s="221"/>
      <c r="AU242" s="221"/>
      <c r="AV242" s="221"/>
      <c r="AW242" s="221"/>
    </row>
    <row r="243" spans="3:49" x14ac:dyDescent="0.25">
      <c r="C243" s="214"/>
      <c r="D243" s="36"/>
      <c r="E243" s="36"/>
      <c r="F243" s="214"/>
      <c r="G243" s="206"/>
      <c r="H243" s="206"/>
      <c r="I243" s="206"/>
      <c r="J243" s="221"/>
      <c r="K243" s="222"/>
      <c r="L243" s="221"/>
      <c r="M243" s="222"/>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c r="AI243" s="221"/>
      <c r="AJ243" s="221"/>
      <c r="AK243" s="221"/>
      <c r="AL243" s="221"/>
      <c r="AM243" s="221"/>
      <c r="AN243" s="221"/>
      <c r="AO243" s="221"/>
      <c r="AP243" s="221"/>
      <c r="AQ243" s="221"/>
      <c r="AR243" s="221"/>
      <c r="AS243" s="221"/>
      <c r="AT243" s="221"/>
      <c r="AU243" s="221"/>
      <c r="AV243" s="221"/>
      <c r="AW243" s="221"/>
    </row>
    <row r="244" spans="3:49" x14ac:dyDescent="0.25">
      <c r="C244" s="214"/>
      <c r="D244" s="36"/>
      <c r="E244" s="36"/>
      <c r="F244" s="36"/>
      <c r="G244" s="206"/>
      <c r="H244" s="206"/>
      <c r="I244" s="206"/>
      <c r="J244" s="221"/>
      <c r="K244" s="222"/>
      <c r="L244" s="221"/>
      <c r="M244" s="222"/>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c r="AI244" s="221"/>
      <c r="AJ244" s="221"/>
      <c r="AK244" s="221"/>
      <c r="AL244" s="221"/>
      <c r="AM244" s="221"/>
      <c r="AN244" s="221"/>
      <c r="AO244" s="221"/>
      <c r="AP244" s="221"/>
      <c r="AQ244" s="221"/>
      <c r="AR244" s="221"/>
      <c r="AS244" s="221"/>
      <c r="AT244" s="221"/>
      <c r="AU244" s="221"/>
      <c r="AV244" s="221"/>
      <c r="AW244" s="221"/>
    </row>
    <row r="245" spans="3:49" x14ac:dyDescent="0.25">
      <c r="C245" s="214"/>
      <c r="D245" s="36"/>
      <c r="E245" s="36"/>
      <c r="F245" s="214"/>
      <c r="G245" s="206"/>
      <c r="H245" s="206"/>
      <c r="I245" s="206"/>
      <c r="J245" s="221"/>
      <c r="K245" s="222"/>
      <c r="L245" s="221"/>
      <c r="M245" s="222"/>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c r="AI245" s="221"/>
      <c r="AJ245" s="221"/>
      <c r="AK245" s="221"/>
      <c r="AL245" s="221"/>
      <c r="AM245" s="221"/>
      <c r="AN245" s="221"/>
      <c r="AO245" s="221"/>
      <c r="AP245" s="221"/>
      <c r="AQ245" s="221"/>
      <c r="AR245" s="221"/>
      <c r="AS245" s="221"/>
      <c r="AT245" s="221"/>
      <c r="AU245" s="221"/>
      <c r="AV245" s="221"/>
      <c r="AW245" s="221"/>
    </row>
    <row r="246" spans="3:49" x14ac:dyDescent="0.25">
      <c r="C246" s="214"/>
      <c r="D246" s="36"/>
      <c r="E246" s="36"/>
      <c r="F246" s="214"/>
      <c r="G246" s="206"/>
      <c r="H246" s="206"/>
      <c r="I246" s="206"/>
      <c r="J246" s="221"/>
      <c r="K246" s="222"/>
      <c r="L246" s="221"/>
      <c r="M246" s="222"/>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c r="AI246" s="221"/>
      <c r="AJ246" s="221"/>
      <c r="AK246" s="221"/>
      <c r="AL246" s="221"/>
      <c r="AM246" s="221"/>
      <c r="AN246" s="221"/>
      <c r="AO246" s="221"/>
      <c r="AP246" s="221"/>
      <c r="AQ246" s="221"/>
      <c r="AR246" s="221"/>
      <c r="AS246" s="221"/>
      <c r="AT246" s="221"/>
      <c r="AU246" s="221"/>
      <c r="AV246" s="221"/>
      <c r="AW246" s="221"/>
    </row>
    <row r="247" spans="3:49" x14ac:dyDescent="0.25">
      <c r="C247" s="214"/>
      <c r="D247" s="36"/>
      <c r="E247" s="36"/>
      <c r="F247" s="36"/>
      <c r="G247" s="206"/>
      <c r="H247" s="206"/>
      <c r="I247" s="206"/>
      <c r="J247" s="221"/>
      <c r="K247" s="222"/>
      <c r="L247" s="221"/>
      <c r="M247" s="222"/>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c r="AR247" s="221"/>
      <c r="AS247" s="221"/>
      <c r="AT247" s="221"/>
      <c r="AU247" s="221"/>
      <c r="AV247" s="221"/>
      <c r="AW247" s="221"/>
    </row>
    <row r="248" spans="3:49" x14ac:dyDescent="0.25">
      <c r="C248" s="214"/>
      <c r="D248" s="36"/>
      <c r="E248" s="36"/>
      <c r="F248" s="214"/>
      <c r="G248" s="206"/>
      <c r="H248" s="206"/>
      <c r="I248" s="206"/>
      <c r="J248" s="221"/>
      <c r="K248" s="222"/>
      <c r="L248" s="221"/>
      <c r="M248" s="222"/>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c r="AI248" s="221"/>
      <c r="AJ248" s="221"/>
      <c r="AK248" s="221"/>
      <c r="AL248" s="221"/>
      <c r="AM248" s="221"/>
      <c r="AN248" s="221"/>
      <c r="AO248" s="221"/>
      <c r="AP248" s="221"/>
      <c r="AQ248" s="221"/>
      <c r="AR248" s="221"/>
      <c r="AS248" s="221"/>
      <c r="AT248" s="221"/>
      <c r="AU248" s="221"/>
      <c r="AV248" s="221"/>
      <c r="AW248" s="221"/>
    </row>
    <row r="249" spans="3:49" x14ac:dyDescent="0.25">
      <c r="C249" s="214"/>
      <c r="D249" s="36"/>
      <c r="E249" s="36"/>
      <c r="F249" s="214"/>
      <c r="G249" s="206"/>
      <c r="H249" s="206"/>
      <c r="I249" s="206"/>
      <c r="J249" s="221"/>
      <c r="K249" s="222"/>
      <c r="L249" s="221"/>
      <c r="M249" s="222"/>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row>
    <row r="250" spans="3:49" x14ac:dyDescent="0.25">
      <c r="C250" s="214"/>
      <c r="D250" s="36"/>
      <c r="E250" s="36"/>
      <c r="F250" s="36"/>
      <c r="G250" s="206"/>
      <c r="H250" s="206"/>
      <c r="I250" s="206"/>
      <c r="J250" s="221"/>
      <c r="K250" s="222"/>
      <c r="L250" s="221"/>
      <c r="M250" s="222"/>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c r="AI250" s="221"/>
      <c r="AJ250" s="221"/>
      <c r="AK250" s="221"/>
      <c r="AL250" s="221"/>
      <c r="AM250" s="221"/>
      <c r="AN250" s="221"/>
      <c r="AO250" s="221"/>
      <c r="AP250" s="221"/>
      <c r="AQ250" s="221"/>
      <c r="AR250" s="221"/>
      <c r="AS250" s="221"/>
      <c r="AT250" s="221"/>
      <c r="AU250" s="221"/>
      <c r="AV250" s="221"/>
      <c r="AW250" s="221"/>
    </row>
    <row r="251" spans="3:49" x14ac:dyDescent="0.25">
      <c r="C251" s="214"/>
      <c r="D251" s="36"/>
      <c r="E251" s="36"/>
      <c r="F251" s="214"/>
      <c r="G251" s="206"/>
      <c r="H251" s="206"/>
      <c r="I251" s="206"/>
      <c r="J251" s="221"/>
      <c r="K251" s="222"/>
      <c r="L251" s="221"/>
      <c r="M251" s="222"/>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c r="AI251" s="221"/>
      <c r="AJ251" s="221"/>
      <c r="AK251" s="221"/>
      <c r="AL251" s="221"/>
      <c r="AM251" s="221"/>
      <c r="AN251" s="221"/>
      <c r="AO251" s="221"/>
      <c r="AP251" s="221"/>
      <c r="AQ251" s="221"/>
      <c r="AR251" s="221"/>
      <c r="AS251" s="221"/>
      <c r="AT251" s="221"/>
      <c r="AU251" s="221"/>
      <c r="AV251" s="221"/>
      <c r="AW251" s="221"/>
    </row>
    <row r="252" spans="3:49" x14ac:dyDescent="0.25">
      <c r="C252" s="214"/>
      <c r="D252" s="36"/>
      <c r="E252" s="36"/>
      <c r="F252" s="214"/>
      <c r="G252" s="206"/>
      <c r="H252" s="206"/>
      <c r="I252" s="206"/>
      <c r="J252" s="221"/>
      <c r="K252" s="222"/>
      <c r="L252" s="221"/>
      <c r="M252" s="222"/>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c r="AI252" s="221"/>
      <c r="AJ252" s="221"/>
      <c r="AK252" s="221"/>
      <c r="AL252" s="221"/>
      <c r="AM252" s="221"/>
      <c r="AN252" s="221"/>
      <c r="AO252" s="221"/>
      <c r="AP252" s="221"/>
      <c r="AQ252" s="221"/>
      <c r="AR252" s="221"/>
      <c r="AS252" s="221"/>
      <c r="AT252" s="221"/>
      <c r="AU252" s="221"/>
      <c r="AV252" s="221"/>
      <c r="AW252" s="221"/>
    </row>
    <row r="253" spans="3:49" x14ac:dyDescent="0.25">
      <c r="C253" s="214"/>
      <c r="D253" s="36"/>
      <c r="E253" s="36"/>
      <c r="F253" s="36"/>
      <c r="G253" s="206"/>
      <c r="H253" s="206"/>
      <c r="I253" s="206"/>
      <c r="J253" s="221"/>
      <c r="K253" s="222"/>
      <c r="L253" s="221"/>
      <c r="M253" s="222"/>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c r="AI253" s="221"/>
      <c r="AJ253" s="221"/>
      <c r="AK253" s="221"/>
      <c r="AL253" s="221"/>
      <c r="AM253" s="221"/>
      <c r="AN253" s="221"/>
      <c r="AO253" s="221"/>
      <c r="AP253" s="221"/>
      <c r="AQ253" s="221"/>
      <c r="AR253" s="221"/>
      <c r="AS253" s="221"/>
      <c r="AT253" s="221"/>
      <c r="AU253" s="221"/>
      <c r="AV253" s="221"/>
      <c r="AW253" s="221"/>
    </row>
    <row r="254" spans="3:49" x14ac:dyDescent="0.25">
      <c r="C254" s="214"/>
      <c r="D254" s="36"/>
      <c r="E254" s="36"/>
      <c r="F254" s="214"/>
      <c r="G254" s="206"/>
      <c r="H254" s="206"/>
      <c r="I254" s="206"/>
      <c r="J254" s="221"/>
      <c r="K254" s="222"/>
      <c r="L254" s="221"/>
      <c r="M254" s="222"/>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c r="AI254" s="221"/>
      <c r="AJ254" s="221"/>
      <c r="AK254" s="221"/>
      <c r="AL254" s="221"/>
      <c r="AM254" s="221"/>
      <c r="AN254" s="221"/>
      <c r="AO254" s="221"/>
      <c r="AP254" s="221"/>
      <c r="AQ254" s="221"/>
      <c r="AR254" s="221"/>
      <c r="AS254" s="221"/>
      <c r="AT254" s="221"/>
      <c r="AU254" s="221"/>
      <c r="AV254" s="221"/>
      <c r="AW254" s="221"/>
    </row>
    <row r="255" spans="3:49" x14ac:dyDescent="0.25">
      <c r="C255" s="214"/>
      <c r="D255" s="36"/>
      <c r="E255" s="36"/>
      <c r="F255" s="214"/>
      <c r="G255" s="206"/>
      <c r="H255" s="206"/>
      <c r="I255" s="206"/>
      <c r="J255" s="221"/>
      <c r="K255" s="222"/>
      <c r="L255" s="221"/>
      <c r="M255" s="222"/>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c r="AI255" s="221"/>
      <c r="AJ255" s="221"/>
      <c r="AK255" s="221"/>
      <c r="AL255" s="221"/>
      <c r="AM255" s="221"/>
      <c r="AN255" s="221"/>
      <c r="AO255" s="221"/>
      <c r="AP255" s="221"/>
      <c r="AQ255" s="221"/>
      <c r="AR255" s="221"/>
      <c r="AS255" s="221"/>
      <c r="AT255" s="221"/>
      <c r="AU255" s="221"/>
      <c r="AV255" s="221"/>
      <c r="AW255" s="221"/>
    </row>
    <row r="256" spans="3:49" x14ac:dyDescent="0.25">
      <c r="C256" s="214"/>
      <c r="D256" s="36"/>
      <c r="E256" s="36"/>
      <c r="F256" s="36"/>
      <c r="G256" s="206"/>
      <c r="H256" s="206"/>
      <c r="I256" s="206"/>
      <c r="J256" s="221"/>
      <c r="K256" s="222"/>
      <c r="L256" s="221"/>
      <c r="M256" s="222"/>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c r="AI256" s="221"/>
      <c r="AJ256" s="221"/>
      <c r="AK256" s="221"/>
      <c r="AL256" s="221"/>
      <c r="AM256" s="221"/>
      <c r="AN256" s="221"/>
      <c r="AO256" s="221"/>
      <c r="AP256" s="221"/>
      <c r="AQ256" s="221"/>
      <c r="AR256" s="221"/>
      <c r="AS256" s="221"/>
      <c r="AT256" s="221"/>
      <c r="AU256" s="221"/>
      <c r="AV256" s="221"/>
      <c r="AW256" s="221"/>
    </row>
    <row r="257" spans="3:49" x14ac:dyDescent="0.25">
      <c r="C257" s="214"/>
      <c r="D257" s="36"/>
      <c r="E257" s="36"/>
      <c r="F257" s="214"/>
      <c r="G257" s="206"/>
      <c r="H257" s="206"/>
      <c r="I257" s="206"/>
      <c r="J257" s="221"/>
      <c r="K257" s="222"/>
      <c r="L257" s="221"/>
      <c r="M257" s="222"/>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c r="AR257" s="221"/>
      <c r="AS257" s="221"/>
      <c r="AT257" s="221"/>
      <c r="AU257" s="221"/>
      <c r="AV257" s="221"/>
      <c r="AW257" s="221"/>
    </row>
    <row r="258" spans="3:49" x14ac:dyDescent="0.25">
      <c r="C258" s="214"/>
      <c r="D258" s="36"/>
      <c r="E258" s="36"/>
      <c r="F258" s="214"/>
      <c r="G258" s="206"/>
      <c r="H258" s="206"/>
      <c r="I258" s="206"/>
      <c r="J258" s="221"/>
      <c r="K258" s="222"/>
      <c r="L258" s="221"/>
      <c r="M258" s="222"/>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c r="AS258" s="221"/>
      <c r="AT258" s="221"/>
      <c r="AU258" s="221"/>
      <c r="AV258" s="221"/>
      <c r="AW258" s="221"/>
    </row>
    <row r="259" spans="3:49" x14ac:dyDescent="0.25">
      <c r="C259" s="214"/>
      <c r="D259" s="36"/>
      <c r="E259" s="36"/>
      <c r="F259" s="36"/>
      <c r="G259" s="206"/>
      <c r="H259" s="206"/>
      <c r="I259" s="206"/>
      <c r="J259" s="221"/>
      <c r="K259" s="222"/>
      <c r="L259" s="221"/>
      <c r="M259" s="222"/>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1"/>
      <c r="AU259" s="221"/>
      <c r="AV259" s="221"/>
      <c r="AW259" s="221"/>
    </row>
    <row r="260" spans="3:49" x14ac:dyDescent="0.25">
      <c r="C260" s="214"/>
      <c r="D260" s="36"/>
      <c r="E260" s="36"/>
      <c r="F260" s="214"/>
      <c r="G260" s="206"/>
      <c r="H260" s="206"/>
      <c r="I260" s="206"/>
      <c r="J260" s="221"/>
      <c r="K260" s="222"/>
      <c r="L260" s="221"/>
      <c r="M260" s="222"/>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c r="AR260" s="221"/>
      <c r="AS260" s="221"/>
      <c r="AT260" s="221"/>
      <c r="AU260" s="221"/>
      <c r="AV260" s="221"/>
      <c r="AW260" s="221"/>
    </row>
    <row r="261" spans="3:49" x14ac:dyDescent="0.25">
      <c r="C261" s="214"/>
      <c r="D261" s="36"/>
      <c r="E261" s="36"/>
      <c r="F261" s="214"/>
      <c r="G261" s="206"/>
      <c r="H261" s="206"/>
      <c r="I261" s="206"/>
      <c r="J261" s="221"/>
      <c r="K261" s="222"/>
      <c r="L261" s="221"/>
      <c r="M261" s="222"/>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1"/>
      <c r="AU261" s="221"/>
      <c r="AV261" s="221"/>
      <c r="AW261" s="221"/>
    </row>
    <row r="262" spans="3:49" x14ac:dyDescent="0.25">
      <c r="C262" s="214"/>
      <c r="D262" s="36"/>
      <c r="E262" s="36"/>
      <c r="F262" s="36"/>
      <c r="G262" s="206"/>
      <c r="H262" s="206"/>
      <c r="I262" s="206"/>
      <c r="J262" s="221"/>
      <c r="K262" s="222"/>
      <c r="L262" s="221"/>
      <c r="M262" s="222"/>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row>
    <row r="263" spans="3:49" x14ac:dyDescent="0.25">
      <c r="C263" s="214"/>
      <c r="D263" s="36"/>
      <c r="E263" s="36"/>
      <c r="F263" s="214"/>
      <c r="G263" s="206"/>
      <c r="H263" s="206"/>
      <c r="I263" s="206"/>
      <c r="J263" s="221"/>
      <c r="K263" s="222"/>
      <c r="L263" s="221"/>
      <c r="M263" s="222"/>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1"/>
      <c r="AU263" s="221"/>
      <c r="AV263" s="221"/>
      <c r="AW263" s="221"/>
    </row>
    <row r="264" spans="3:49" x14ac:dyDescent="0.25">
      <c r="C264" s="214"/>
      <c r="D264" s="36"/>
      <c r="E264" s="36"/>
      <c r="F264" s="214"/>
      <c r="G264" s="206"/>
      <c r="H264" s="206"/>
      <c r="I264" s="206"/>
      <c r="J264" s="221"/>
      <c r="K264" s="222"/>
      <c r="L264" s="221"/>
      <c r="M264" s="222"/>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row>
    <row r="265" spans="3:49" x14ac:dyDescent="0.25">
      <c r="C265" s="214"/>
      <c r="D265" s="36"/>
      <c r="E265" s="36"/>
      <c r="F265" s="36"/>
      <c r="G265" s="206"/>
      <c r="H265" s="206"/>
      <c r="I265" s="206"/>
      <c r="J265" s="221"/>
      <c r="K265" s="222"/>
      <c r="L265" s="221"/>
      <c r="M265" s="222"/>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c r="AR265" s="221"/>
      <c r="AS265" s="221"/>
      <c r="AT265" s="221"/>
      <c r="AU265" s="221"/>
      <c r="AV265" s="221"/>
      <c r="AW265" s="221"/>
    </row>
    <row r="266" spans="3:49" x14ac:dyDescent="0.25">
      <c r="C266" s="214"/>
      <c r="D266" s="36"/>
      <c r="E266" s="36"/>
      <c r="F266" s="214"/>
      <c r="G266" s="206"/>
      <c r="H266" s="206"/>
      <c r="I266" s="206"/>
      <c r="J266" s="221"/>
      <c r="K266" s="222"/>
      <c r="L266" s="221"/>
      <c r="M266" s="222"/>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c r="AI266" s="221"/>
      <c r="AJ266" s="221"/>
      <c r="AK266" s="221"/>
      <c r="AL266" s="221"/>
      <c r="AM266" s="221"/>
      <c r="AN266" s="221"/>
      <c r="AO266" s="221"/>
      <c r="AP266" s="221"/>
      <c r="AQ266" s="221"/>
      <c r="AR266" s="221"/>
      <c r="AS266" s="221"/>
      <c r="AT266" s="221"/>
      <c r="AU266" s="221"/>
      <c r="AV266" s="221"/>
      <c r="AW266" s="221"/>
    </row>
    <row r="267" spans="3:49" x14ac:dyDescent="0.25">
      <c r="C267" s="214"/>
      <c r="D267" s="36"/>
      <c r="E267" s="36"/>
      <c r="F267" s="214"/>
      <c r="G267" s="206"/>
      <c r="H267" s="206"/>
      <c r="I267" s="206"/>
      <c r="J267" s="221"/>
      <c r="K267" s="222"/>
      <c r="L267" s="221"/>
      <c r="M267" s="222"/>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c r="AI267" s="221"/>
      <c r="AJ267" s="221"/>
      <c r="AK267" s="221"/>
      <c r="AL267" s="221"/>
      <c r="AM267" s="221"/>
      <c r="AN267" s="221"/>
      <c r="AO267" s="221"/>
      <c r="AP267" s="221"/>
      <c r="AQ267" s="221"/>
      <c r="AR267" s="221"/>
      <c r="AS267" s="221"/>
      <c r="AT267" s="221"/>
      <c r="AU267" s="221"/>
      <c r="AV267" s="221"/>
      <c r="AW267" s="221"/>
    </row>
    <row r="268" spans="3:49" x14ac:dyDescent="0.25">
      <c r="C268" s="214"/>
      <c r="D268" s="36"/>
      <c r="E268" s="36"/>
      <c r="F268" s="36"/>
      <c r="G268" s="206"/>
      <c r="H268" s="206"/>
      <c r="I268" s="206"/>
      <c r="J268" s="221"/>
      <c r="K268" s="222"/>
      <c r="L268" s="221"/>
      <c r="M268" s="222"/>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c r="AI268" s="221"/>
      <c r="AJ268" s="221"/>
      <c r="AK268" s="221"/>
      <c r="AL268" s="221"/>
      <c r="AM268" s="221"/>
      <c r="AN268" s="221"/>
      <c r="AO268" s="221"/>
      <c r="AP268" s="221"/>
      <c r="AQ268" s="221"/>
      <c r="AR268" s="221"/>
      <c r="AS268" s="221"/>
      <c r="AT268" s="221"/>
      <c r="AU268" s="221"/>
      <c r="AV268" s="221"/>
      <c r="AW268" s="221"/>
    </row>
    <row r="269" spans="3:49" x14ac:dyDescent="0.25">
      <c r="C269" s="214"/>
      <c r="D269" s="36"/>
      <c r="E269" s="36"/>
      <c r="F269" s="214"/>
      <c r="G269" s="206"/>
      <c r="H269" s="206"/>
      <c r="I269" s="206"/>
      <c r="J269" s="221"/>
      <c r="K269" s="222"/>
      <c r="L269" s="221"/>
      <c r="M269" s="222"/>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c r="AI269" s="221"/>
      <c r="AJ269" s="221"/>
      <c r="AK269" s="221"/>
      <c r="AL269" s="221"/>
      <c r="AM269" s="221"/>
      <c r="AN269" s="221"/>
      <c r="AO269" s="221"/>
      <c r="AP269" s="221"/>
      <c r="AQ269" s="221"/>
      <c r="AR269" s="221"/>
      <c r="AS269" s="221"/>
      <c r="AT269" s="221"/>
      <c r="AU269" s="221"/>
      <c r="AV269" s="221"/>
      <c r="AW269" s="221"/>
    </row>
    <row r="270" spans="3:49" x14ac:dyDescent="0.25">
      <c r="C270" s="214"/>
      <c r="D270" s="36"/>
      <c r="E270" s="36"/>
      <c r="F270" s="214"/>
      <c r="G270" s="206"/>
      <c r="H270" s="206"/>
      <c r="I270" s="206"/>
      <c r="J270" s="221"/>
      <c r="K270" s="222"/>
      <c r="L270" s="221"/>
      <c r="M270" s="222"/>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c r="AR270" s="221"/>
      <c r="AS270" s="221"/>
      <c r="AT270" s="221"/>
      <c r="AU270" s="221"/>
      <c r="AV270" s="221"/>
      <c r="AW270" s="221"/>
    </row>
    <row r="271" spans="3:49" x14ac:dyDescent="0.25">
      <c r="C271" s="214"/>
      <c r="D271" s="36"/>
      <c r="E271" s="36"/>
      <c r="F271" s="36"/>
      <c r="G271" s="206"/>
      <c r="H271" s="206"/>
      <c r="I271" s="206"/>
      <c r="J271" s="221"/>
      <c r="K271" s="222"/>
      <c r="L271" s="221"/>
      <c r="M271" s="222"/>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c r="AI271" s="221"/>
      <c r="AJ271" s="221"/>
      <c r="AK271" s="221"/>
      <c r="AL271" s="221"/>
      <c r="AM271" s="221"/>
      <c r="AN271" s="221"/>
      <c r="AO271" s="221"/>
      <c r="AP271" s="221"/>
      <c r="AQ271" s="221"/>
      <c r="AR271" s="221"/>
      <c r="AS271" s="221"/>
      <c r="AT271" s="221"/>
      <c r="AU271" s="221"/>
      <c r="AV271" s="221"/>
      <c r="AW271" s="221"/>
    </row>
    <row r="272" spans="3:49" x14ac:dyDescent="0.25">
      <c r="C272" s="214"/>
      <c r="D272" s="36"/>
      <c r="E272" s="36"/>
      <c r="F272" s="214"/>
      <c r="G272" s="206"/>
      <c r="H272" s="206"/>
      <c r="I272" s="206"/>
      <c r="J272" s="221"/>
      <c r="K272" s="222"/>
      <c r="L272" s="221"/>
      <c r="M272" s="222"/>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c r="AI272" s="221"/>
      <c r="AJ272" s="221"/>
      <c r="AK272" s="221"/>
      <c r="AL272" s="221"/>
      <c r="AM272" s="221"/>
      <c r="AN272" s="221"/>
      <c r="AO272" s="221"/>
      <c r="AP272" s="221"/>
      <c r="AQ272" s="221"/>
      <c r="AR272" s="221"/>
      <c r="AS272" s="221"/>
      <c r="AT272" s="221"/>
      <c r="AU272" s="221"/>
      <c r="AV272" s="221"/>
      <c r="AW272" s="221"/>
    </row>
    <row r="273" spans="3:49" x14ac:dyDescent="0.25">
      <c r="C273" s="214"/>
      <c r="D273" s="36"/>
      <c r="E273" s="36"/>
      <c r="F273" s="214"/>
      <c r="G273" s="206"/>
      <c r="H273" s="206"/>
      <c r="I273" s="206"/>
      <c r="J273" s="221"/>
      <c r="K273" s="222"/>
      <c r="L273" s="221"/>
      <c r="M273" s="222"/>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c r="AR273" s="221"/>
      <c r="AS273" s="221"/>
      <c r="AT273" s="221"/>
      <c r="AU273" s="221"/>
      <c r="AV273" s="221"/>
      <c r="AW273" s="221"/>
    </row>
    <row r="274" spans="3:49" x14ac:dyDescent="0.25">
      <c r="C274" s="214"/>
      <c r="D274" s="36"/>
      <c r="E274" s="36"/>
      <c r="F274" s="36"/>
      <c r="G274" s="206"/>
      <c r="H274" s="206"/>
      <c r="I274" s="206"/>
      <c r="J274" s="221"/>
      <c r="K274" s="222"/>
      <c r="L274" s="221"/>
      <c r="M274" s="222"/>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c r="AI274" s="221"/>
      <c r="AJ274" s="221"/>
      <c r="AK274" s="221"/>
      <c r="AL274" s="221"/>
      <c r="AM274" s="221"/>
      <c r="AN274" s="221"/>
      <c r="AO274" s="221"/>
      <c r="AP274" s="221"/>
      <c r="AQ274" s="221"/>
      <c r="AR274" s="221"/>
      <c r="AS274" s="221"/>
      <c r="AT274" s="221"/>
      <c r="AU274" s="221"/>
      <c r="AV274" s="221"/>
      <c r="AW274" s="221"/>
    </row>
    <row r="275" spans="3:49" x14ac:dyDescent="0.25">
      <c r="C275" s="214"/>
      <c r="D275" s="36"/>
      <c r="E275" s="36"/>
      <c r="F275" s="214"/>
      <c r="G275" s="206"/>
      <c r="H275" s="206"/>
      <c r="I275" s="206"/>
      <c r="J275" s="221"/>
      <c r="K275" s="222"/>
      <c r="L275" s="221"/>
      <c r="M275" s="222"/>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c r="AI275" s="221"/>
      <c r="AJ275" s="221"/>
      <c r="AK275" s="221"/>
      <c r="AL275" s="221"/>
      <c r="AM275" s="221"/>
      <c r="AN275" s="221"/>
      <c r="AO275" s="221"/>
      <c r="AP275" s="221"/>
      <c r="AQ275" s="221"/>
      <c r="AR275" s="221"/>
      <c r="AS275" s="221"/>
      <c r="AT275" s="221"/>
      <c r="AU275" s="221"/>
      <c r="AV275" s="221"/>
      <c r="AW275" s="221"/>
    </row>
    <row r="276" spans="3:49" x14ac:dyDescent="0.25">
      <c r="C276" s="214"/>
      <c r="D276" s="36"/>
      <c r="E276" s="36"/>
      <c r="F276" s="214"/>
      <c r="G276" s="206"/>
      <c r="H276" s="206"/>
      <c r="I276" s="206"/>
      <c r="J276" s="221"/>
      <c r="K276" s="222"/>
      <c r="L276" s="221"/>
      <c r="M276" s="222"/>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c r="AI276" s="221"/>
      <c r="AJ276" s="221"/>
      <c r="AK276" s="221"/>
      <c r="AL276" s="221"/>
      <c r="AM276" s="221"/>
      <c r="AN276" s="221"/>
      <c r="AO276" s="221"/>
      <c r="AP276" s="221"/>
      <c r="AQ276" s="221"/>
      <c r="AR276" s="221"/>
      <c r="AS276" s="221"/>
      <c r="AT276" s="221"/>
      <c r="AU276" s="221"/>
      <c r="AV276" s="221"/>
      <c r="AW276" s="221"/>
    </row>
    <row r="277" spans="3:49" x14ac:dyDescent="0.25">
      <c r="C277" s="214"/>
      <c r="D277" s="36"/>
      <c r="E277" s="36"/>
      <c r="F277" s="36"/>
      <c r="G277" s="206"/>
      <c r="H277" s="206"/>
      <c r="I277" s="206"/>
      <c r="J277" s="221"/>
      <c r="K277" s="222"/>
      <c r="L277" s="221"/>
      <c r="M277" s="222"/>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c r="AI277" s="221"/>
      <c r="AJ277" s="221"/>
      <c r="AK277" s="221"/>
      <c r="AL277" s="221"/>
      <c r="AM277" s="221"/>
      <c r="AN277" s="221"/>
      <c r="AO277" s="221"/>
      <c r="AP277" s="221"/>
      <c r="AQ277" s="221"/>
      <c r="AR277" s="221"/>
      <c r="AS277" s="221"/>
      <c r="AT277" s="221"/>
      <c r="AU277" s="221"/>
      <c r="AV277" s="221"/>
      <c r="AW277" s="221"/>
    </row>
    <row r="278" spans="3:49" x14ac:dyDescent="0.25">
      <c r="C278" s="214"/>
      <c r="D278" s="36"/>
      <c r="E278" s="36"/>
      <c r="F278" s="214"/>
      <c r="G278" s="206"/>
      <c r="H278" s="206"/>
      <c r="I278" s="206"/>
      <c r="J278" s="221"/>
      <c r="K278" s="222"/>
      <c r="L278" s="221"/>
      <c r="M278" s="222"/>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c r="AI278" s="221"/>
      <c r="AJ278" s="221"/>
      <c r="AK278" s="221"/>
      <c r="AL278" s="221"/>
      <c r="AM278" s="221"/>
      <c r="AN278" s="221"/>
      <c r="AO278" s="221"/>
      <c r="AP278" s="221"/>
      <c r="AQ278" s="221"/>
      <c r="AR278" s="221"/>
      <c r="AS278" s="221"/>
      <c r="AT278" s="221"/>
      <c r="AU278" s="221"/>
      <c r="AV278" s="221"/>
      <c r="AW278" s="221"/>
    </row>
    <row r="279" spans="3:49" x14ac:dyDescent="0.25">
      <c r="C279" s="214"/>
      <c r="D279" s="36"/>
      <c r="E279" s="36"/>
      <c r="F279" s="214"/>
      <c r="G279" s="206"/>
      <c r="H279" s="206"/>
      <c r="I279" s="206"/>
      <c r="J279" s="221"/>
      <c r="K279" s="222"/>
      <c r="L279" s="221"/>
      <c r="M279" s="222"/>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c r="AI279" s="221"/>
      <c r="AJ279" s="221"/>
      <c r="AK279" s="221"/>
      <c r="AL279" s="221"/>
      <c r="AM279" s="221"/>
      <c r="AN279" s="221"/>
      <c r="AO279" s="221"/>
      <c r="AP279" s="221"/>
      <c r="AQ279" s="221"/>
      <c r="AR279" s="221"/>
      <c r="AS279" s="221"/>
      <c r="AT279" s="221"/>
      <c r="AU279" s="221"/>
      <c r="AV279" s="221"/>
      <c r="AW279" s="221"/>
    </row>
    <row r="280" spans="3:49" x14ac:dyDescent="0.25">
      <c r="C280" s="214"/>
      <c r="D280" s="36"/>
      <c r="E280" s="36"/>
      <c r="F280" s="36"/>
      <c r="G280" s="206"/>
      <c r="H280" s="206"/>
      <c r="I280" s="206"/>
      <c r="J280" s="221"/>
      <c r="K280" s="222"/>
      <c r="L280" s="221"/>
      <c r="M280" s="222"/>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c r="AI280" s="221"/>
      <c r="AJ280" s="221"/>
      <c r="AK280" s="221"/>
      <c r="AL280" s="221"/>
      <c r="AM280" s="221"/>
      <c r="AN280" s="221"/>
      <c r="AO280" s="221"/>
      <c r="AP280" s="221"/>
      <c r="AQ280" s="221"/>
      <c r="AR280" s="221"/>
      <c r="AS280" s="221"/>
      <c r="AT280" s="221"/>
      <c r="AU280" s="221"/>
      <c r="AV280" s="221"/>
      <c r="AW280" s="221"/>
    </row>
    <row r="281" spans="3:49" x14ac:dyDescent="0.25">
      <c r="C281" s="214"/>
      <c r="D281" s="36"/>
      <c r="E281" s="36"/>
      <c r="F281" s="214"/>
      <c r="G281" s="206"/>
      <c r="H281" s="206"/>
      <c r="I281" s="206"/>
      <c r="J281" s="221"/>
      <c r="K281" s="222"/>
      <c r="L281" s="221"/>
      <c r="M281" s="222"/>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c r="AI281" s="221"/>
      <c r="AJ281" s="221"/>
      <c r="AK281" s="221"/>
      <c r="AL281" s="221"/>
      <c r="AM281" s="221"/>
      <c r="AN281" s="221"/>
      <c r="AO281" s="221"/>
      <c r="AP281" s="221"/>
      <c r="AQ281" s="221"/>
      <c r="AR281" s="221"/>
      <c r="AS281" s="221"/>
      <c r="AT281" s="221"/>
      <c r="AU281" s="221"/>
      <c r="AV281" s="221"/>
      <c r="AW281" s="221"/>
    </row>
    <row r="282" spans="3:49" x14ac:dyDescent="0.25">
      <c r="C282" s="214"/>
      <c r="D282" s="36"/>
      <c r="E282" s="36"/>
      <c r="F282" s="214"/>
      <c r="G282" s="206"/>
      <c r="H282" s="206"/>
      <c r="I282" s="206"/>
      <c r="J282" s="221"/>
      <c r="K282" s="222"/>
      <c r="L282" s="221"/>
      <c r="M282" s="222"/>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c r="AI282" s="221"/>
      <c r="AJ282" s="221"/>
      <c r="AK282" s="221"/>
      <c r="AL282" s="221"/>
      <c r="AM282" s="221"/>
      <c r="AN282" s="221"/>
      <c r="AO282" s="221"/>
      <c r="AP282" s="221"/>
      <c r="AQ282" s="221"/>
      <c r="AR282" s="221"/>
      <c r="AS282" s="221"/>
      <c r="AT282" s="221"/>
      <c r="AU282" s="221"/>
      <c r="AV282" s="221"/>
      <c r="AW282" s="221"/>
    </row>
    <row r="283" spans="3:49" x14ac:dyDescent="0.25">
      <c r="C283" s="214"/>
      <c r="D283" s="36"/>
      <c r="E283" s="36"/>
      <c r="F283" s="36"/>
      <c r="G283" s="206"/>
      <c r="H283" s="206"/>
      <c r="I283" s="206"/>
      <c r="J283" s="221"/>
      <c r="K283" s="222"/>
      <c r="L283" s="221"/>
      <c r="M283" s="222"/>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c r="AI283" s="221"/>
      <c r="AJ283" s="221"/>
      <c r="AK283" s="221"/>
      <c r="AL283" s="221"/>
      <c r="AM283" s="221"/>
      <c r="AN283" s="221"/>
      <c r="AO283" s="221"/>
      <c r="AP283" s="221"/>
      <c r="AQ283" s="221"/>
      <c r="AR283" s="221"/>
      <c r="AS283" s="221"/>
      <c r="AT283" s="221"/>
      <c r="AU283" s="221"/>
      <c r="AV283" s="221"/>
      <c r="AW283" s="221"/>
    </row>
    <row r="284" spans="3:49" x14ac:dyDescent="0.25">
      <c r="C284" s="214"/>
      <c r="D284" s="36"/>
      <c r="E284" s="36"/>
      <c r="F284" s="214"/>
      <c r="G284" s="206"/>
      <c r="H284" s="206"/>
      <c r="I284" s="206"/>
      <c r="J284" s="221"/>
      <c r="K284" s="222"/>
      <c r="L284" s="221"/>
      <c r="M284" s="222"/>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1"/>
    </row>
    <row r="285" spans="3:49" x14ac:dyDescent="0.25">
      <c r="C285" s="214"/>
      <c r="D285" s="36"/>
      <c r="E285" s="36"/>
      <c r="F285" s="214"/>
      <c r="G285" s="206"/>
      <c r="H285" s="206"/>
      <c r="I285" s="206"/>
      <c r="J285" s="221"/>
      <c r="K285" s="222"/>
      <c r="L285" s="221"/>
      <c r="M285" s="222"/>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c r="AI285" s="221"/>
      <c r="AJ285" s="221"/>
      <c r="AK285" s="221"/>
      <c r="AL285" s="221"/>
      <c r="AM285" s="221"/>
      <c r="AN285" s="221"/>
      <c r="AO285" s="221"/>
      <c r="AP285" s="221"/>
      <c r="AQ285" s="221"/>
      <c r="AR285" s="221"/>
      <c r="AS285" s="221"/>
      <c r="AT285" s="221"/>
      <c r="AU285" s="221"/>
      <c r="AV285" s="221"/>
      <c r="AW285" s="221"/>
    </row>
    <row r="286" spans="3:49" x14ac:dyDescent="0.25">
      <c r="C286" s="214"/>
      <c r="D286" s="36"/>
      <c r="E286" s="36"/>
      <c r="F286" s="36"/>
      <c r="G286" s="206"/>
      <c r="H286" s="206"/>
      <c r="I286" s="206"/>
      <c r="J286" s="221"/>
      <c r="K286" s="222"/>
      <c r="L286" s="221"/>
      <c r="M286" s="222"/>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c r="AI286" s="221"/>
      <c r="AJ286" s="221"/>
      <c r="AK286" s="221"/>
      <c r="AL286" s="221"/>
      <c r="AM286" s="221"/>
      <c r="AN286" s="221"/>
      <c r="AO286" s="221"/>
      <c r="AP286" s="221"/>
      <c r="AQ286" s="221"/>
      <c r="AR286" s="221"/>
      <c r="AS286" s="221"/>
      <c r="AT286" s="221"/>
      <c r="AU286" s="221"/>
      <c r="AV286" s="221"/>
      <c r="AW286" s="221"/>
    </row>
    <row r="287" spans="3:49" x14ac:dyDescent="0.25">
      <c r="C287" s="214"/>
      <c r="D287" s="36"/>
      <c r="E287" s="36"/>
      <c r="F287" s="214"/>
      <c r="G287" s="206"/>
      <c r="H287" s="206"/>
      <c r="I287" s="206"/>
      <c r="J287" s="221"/>
      <c r="K287" s="222"/>
      <c r="L287" s="221"/>
      <c r="M287" s="222"/>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c r="AI287" s="221"/>
      <c r="AJ287" s="221"/>
      <c r="AK287" s="221"/>
      <c r="AL287" s="221"/>
      <c r="AM287" s="221"/>
      <c r="AN287" s="221"/>
      <c r="AO287" s="221"/>
      <c r="AP287" s="221"/>
      <c r="AQ287" s="221"/>
      <c r="AR287" s="221"/>
      <c r="AS287" s="221"/>
      <c r="AT287" s="221"/>
      <c r="AU287" s="221"/>
      <c r="AV287" s="221"/>
      <c r="AW287" s="221"/>
    </row>
    <row r="288" spans="3:49" x14ac:dyDescent="0.25">
      <c r="C288" s="214"/>
      <c r="D288" s="36"/>
      <c r="E288" s="36"/>
      <c r="F288" s="214"/>
      <c r="G288" s="206"/>
      <c r="H288" s="206"/>
      <c r="I288" s="206"/>
      <c r="J288" s="221"/>
      <c r="K288" s="222"/>
      <c r="L288" s="221"/>
      <c r="M288" s="222"/>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c r="AI288" s="221"/>
      <c r="AJ288" s="221"/>
      <c r="AK288" s="221"/>
      <c r="AL288" s="221"/>
      <c r="AM288" s="221"/>
      <c r="AN288" s="221"/>
      <c r="AO288" s="221"/>
      <c r="AP288" s="221"/>
      <c r="AQ288" s="221"/>
      <c r="AR288" s="221"/>
      <c r="AS288" s="221"/>
      <c r="AT288" s="221"/>
      <c r="AU288" s="221"/>
      <c r="AV288" s="221"/>
      <c r="AW288" s="221"/>
    </row>
    <row r="289" spans="3:49" x14ac:dyDescent="0.25">
      <c r="C289" s="214"/>
      <c r="D289" s="36"/>
      <c r="E289" s="36"/>
      <c r="F289" s="36"/>
      <c r="G289" s="206"/>
      <c r="H289" s="206"/>
      <c r="I289" s="206"/>
      <c r="J289" s="221"/>
      <c r="K289" s="222"/>
      <c r="L289" s="221"/>
      <c r="M289" s="222"/>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c r="AI289" s="221"/>
      <c r="AJ289" s="221"/>
      <c r="AK289" s="221"/>
      <c r="AL289" s="221"/>
      <c r="AM289" s="221"/>
      <c r="AN289" s="221"/>
      <c r="AO289" s="221"/>
      <c r="AP289" s="221"/>
      <c r="AQ289" s="221"/>
      <c r="AR289" s="221"/>
      <c r="AS289" s="221"/>
      <c r="AT289" s="221"/>
      <c r="AU289" s="221"/>
      <c r="AV289" s="221"/>
      <c r="AW289" s="221"/>
    </row>
    <row r="290" spans="3:49" x14ac:dyDescent="0.25">
      <c r="C290" s="214"/>
      <c r="D290" s="36"/>
      <c r="E290" s="36"/>
      <c r="F290" s="214"/>
      <c r="G290" s="206"/>
      <c r="H290" s="206"/>
      <c r="I290" s="206"/>
      <c r="J290" s="221"/>
      <c r="K290" s="222"/>
      <c r="L290" s="221"/>
      <c r="M290" s="222"/>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c r="AI290" s="221"/>
      <c r="AJ290" s="221"/>
      <c r="AK290" s="221"/>
      <c r="AL290" s="221"/>
      <c r="AM290" s="221"/>
      <c r="AN290" s="221"/>
      <c r="AO290" s="221"/>
      <c r="AP290" s="221"/>
      <c r="AQ290" s="221"/>
      <c r="AR290" s="221"/>
      <c r="AS290" s="221"/>
      <c r="AT290" s="221"/>
      <c r="AU290" s="221"/>
      <c r="AV290" s="221"/>
      <c r="AW290" s="221"/>
    </row>
    <row r="291" spans="3:49" x14ac:dyDescent="0.25">
      <c r="C291" s="214"/>
      <c r="D291" s="36"/>
      <c r="E291" s="36"/>
      <c r="F291" s="214"/>
      <c r="G291" s="206"/>
      <c r="H291" s="206"/>
      <c r="I291" s="206"/>
      <c r="J291" s="221"/>
      <c r="K291" s="222"/>
      <c r="L291" s="221"/>
      <c r="M291" s="222"/>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c r="AI291" s="221"/>
      <c r="AJ291" s="221"/>
      <c r="AK291" s="221"/>
      <c r="AL291" s="221"/>
      <c r="AM291" s="221"/>
      <c r="AN291" s="221"/>
      <c r="AO291" s="221"/>
      <c r="AP291" s="221"/>
      <c r="AQ291" s="221"/>
      <c r="AR291" s="221"/>
      <c r="AS291" s="221"/>
      <c r="AT291" s="221"/>
      <c r="AU291" s="221"/>
      <c r="AV291" s="221"/>
      <c r="AW291" s="221"/>
    </row>
    <row r="292" spans="3:49" x14ac:dyDescent="0.25">
      <c r="C292" s="214"/>
      <c r="D292" s="36"/>
      <c r="E292" s="36"/>
      <c r="F292" s="36"/>
      <c r="G292" s="206"/>
      <c r="H292" s="206"/>
      <c r="I292" s="206"/>
      <c r="J292" s="221"/>
      <c r="K292" s="222"/>
      <c r="L292" s="221"/>
      <c r="M292" s="222"/>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c r="AS292" s="221"/>
      <c r="AT292" s="221"/>
      <c r="AU292" s="221"/>
      <c r="AV292" s="221"/>
      <c r="AW292" s="221"/>
    </row>
    <row r="293" spans="3:49" x14ac:dyDescent="0.25">
      <c r="C293" s="214"/>
      <c r="D293" s="36"/>
      <c r="E293" s="36"/>
      <c r="F293" s="214"/>
      <c r="G293" s="206"/>
      <c r="H293" s="206"/>
      <c r="I293" s="206"/>
      <c r="J293" s="221"/>
      <c r="K293" s="222"/>
      <c r="L293" s="221"/>
      <c r="M293" s="222"/>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c r="AI293" s="221"/>
      <c r="AJ293" s="221"/>
      <c r="AK293" s="221"/>
      <c r="AL293" s="221"/>
      <c r="AM293" s="221"/>
      <c r="AN293" s="221"/>
      <c r="AO293" s="221"/>
      <c r="AP293" s="221"/>
      <c r="AQ293" s="221"/>
      <c r="AR293" s="221"/>
      <c r="AS293" s="221"/>
      <c r="AT293" s="221"/>
      <c r="AU293" s="221"/>
      <c r="AV293" s="221"/>
      <c r="AW293" s="221"/>
    </row>
    <row r="294" spans="3:49" x14ac:dyDescent="0.25">
      <c r="C294" s="214"/>
      <c r="D294" s="36"/>
      <c r="E294" s="36"/>
      <c r="F294" s="214"/>
      <c r="G294" s="206"/>
      <c r="H294" s="206"/>
      <c r="I294" s="206"/>
      <c r="J294" s="221"/>
      <c r="K294" s="222"/>
      <c r="L294" s="221"/>
      <c r="M294" s="222"/>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1"/>
      <c r="AL294" s="221"/>
      <c r="AM294" s="221"/>
      <c r="AN294" s="221"/>
      <c r="AO294" s="221"/>
      <c r="AP294" s="221"/>
      <c r="AQ294" s="221"/>
      <c r="AR294" s="221"/>
      <c r="AS294" s="221"/>
      <c r="AT294" s="221"/>
      <c r="AU294" s="221"/>
      <c r="AV294" s="221"/>
      <c r="AW294" s="221"/>
    </row>
    <row r="295" spans="3:49" x14ac:dyDescent="0.25">
      <c r="C295" s="214"/>
      <c r="D295" s="36"/>
      <c r="E295" s="36"/>
      <c r="F295" s="36"/>
      <c r="G295" s="206"/>
      <c r="H295" s="206"/>
      <c r="I295" s="206"/>
      <c r="J295" s="221"/>
      <c r="K295" s="222"/>
      <c r="L295" s="221"/>
      <c r="M295" s="222"/>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c r="AI295" s="221"/>
      <c r="AJ295" s="221"/>
      <c r="AK295" s="221"/>
      <c r="AL295" s="221"/>
      <c r="AM295" s="221"/>
      <c r="AN295" s="221"/>
      <c r="AO295" s="221"/>
      <c r="AP295" s="221"/>
      <c r="AQ295" s="221"/>
      <c r="AR295" s="221"/>
      <c r="AS295" s="221"/>
      <c r="AT295" s="221"/>
      <c r="AU295" s="221"/>
      <c r="AV295" s="221"/>
      <c r="AW295" s="221"/>
    </row>
    <row r="296" spans="3:49" x14ac:dyDescent="0.25">
      <c r="C296" s="214"/>
      <c r="D296" s="36"/>
      <c r="E296" s="36"/>
      <c r="F296" s="214"/>
      <c r="G296" s="206"/>
      <c r="H296" s="206"/>
      <c r="I296" s="206"/>
      <c r="J296" s="221"/>
      <c r="K296" s="222"/>
      <c r="L296" s="221"/>
      <c r="M296" s="222"/>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c r="AI296" s="221"/>
      <c r="AJ296" s="221"/>
      <c r="AK296" s="221"/>
      <c r="AL296" s="221"/>
      <c r="AM296" s="221"/>
      <c r="AN296" s="221"/>
      <c r="AO296" s="221"/>
      <c r="AP296" s="221"/>
      <c r="AQ296" s="221"/>
      <c r="AR296" s="221"/>
      <c r="AS296" s="221"/>
      <c r="AT296" s="221"/>
      <c r="AU296" s="221"/>
      <c r="AV296" s="221"/>
      <c r="AW296" s="221"/>
    </row>
    <row r="297" spans="3:49" x14ac:dyDescent="0.25">
      <c r="C297" s="214"/>
      <c r="D297" s="36"/>
      <c r="E297" s="36"/>
      <c r="F297" s="214"/>
      <c r="G297" s="206"/>
      <c r="H297" s="206"/>
      <c r="I297" s="206"/>
      <c r="J297" s="221"/>
      <c r="K297" s="222"/>
      <c r="L297" s="221"/>
      <c r="M297" s="222"/>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c r="AI297" s="221"/>
      <c r="AJ297" s="221"/>
      <c r="AK297" s="221"/>
      <c r="AL297" s="221"/>
      <c r="AM297" s="221"/>
      <c r="AN297" s="221"/>
      <c r="AO297" s="221"/>
      <c r="AP297" s="221"/>
      <c r="AQ297" s="221"/>
      <c r="AR297" s="221"/>
      <c r="AS297" s="221"/>
      <c r="AT297" s="221"/>
      <c r="AU297" s="221"/>
      <c r="AV297" s="221"/>
      <c r="AW297" s="221"/>
    </row>
    <row r="298" spans="3:49" x14ac:dyDescent="0.25">
      <c r="C298" s="214"/>
      <c r="D298" s="36"/>
      <c r="E298" s="36"/>
      <c r="F298" s="36"/>
      <c r="G298" s="206"/>
      <c r="H298" s="206"/>
      <c r="I298" s="206"/>
      <c r="J298" s="221"/>
      <c r="K298" s="222"/>
      <c r="L298" s="221"/>
      <c r="M298" s="222"/>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c r="AI298" s="221"/>
      <c r="AJ298" s="221"/>
      <c r="AK298" s="221"/>
      <c r="AL298" s="221"/>
      <c r="AM298" s="221"/>
      <c r="AN298" s="221"/>
      <c r="AO298" s="221"/>
      <c r="AP298" s="221"/>
      <c r="AQ298" s="221"/>
      <c r="AR298" s="221"/>
      <c r="AS298" s="221"/>
      <c r="AT298" s="221"/>
      <c r="AU298" s="221"/>
      <c r="AV298" s="221"/>
      <c r="AW298" s="221"/>
    </row>
    <row r="299" spans="3:49" x14ac:dyDescent="0.25">
      <c r="C299" s="214"/>
      <c r="D299" s="36"/>
      <c r="E299" s="36"/>
      <c r="F299" s="214"/>
      <c r="G299" s="206"/>
      <c r="H299" s="206"/>
      <c r="I299" s="206"/>
      <c r="J299" s="221"/>
      <c r="K299" s="222"/>
      <c r="L299" s="221"/>
      <c r="M299" s="222"/>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c r="AI299" s="221"/>
      <c r="AJ299" s="221"/>
      <c r="AK299" s="221"/>
      <c r="AL299" s="221"/>
      <c r="AM299" s="221"/>
      <c r="AN299" s="221"/>
      <c r="AO299" s="221"/>
      <c r="AP299" s="221"/>
      <c r="AQ299" s="221"/>
      <c r="AR299" s="221"/>
      <c r="AS299" s="221"/>
      <c r="AT299" s="221"/>
      <c r="AU299" s="221"/>
      <c r="AV299" s="221"/>
      <c r="AW299" s="221"/>
    </row>
    <row r="300" spans="3:49" x14ac:dyDescent="0.25">
      <c r="C300" s="214"/>
      <c r="D300" s="36"/>
      <c r="E300" s="36"/>
      <c r="F300" s="214"/>
      <c r="G300" s="206"/>
      <c r="H300" s="206"/>
      <c r="I300" s="206"/>
      <c r="J300" s="221"/>
      <c r="K300" s="222"/>
      <c r="L300" s="221"/>
      <c r="M300" s="222"/>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c r="AI300" s="221"/>
      <c r="AJ300" s="221"/>
      <c r="AK300" s="221"/>
      <c r="AL300" s="221"/>
      <c r="AM300" s="221"/>
      <c r="AN300" s="221"/>
      <c r="AO300" s="221"/>
      <c r="AP300" s="221"/>
      <c r="AQ300" s="221"/>
      <c r="AR300" s="221"/>
      <c r="AS300" s="221"/>
      <c r="AT300" s="221"/>
      <c r="AU300" s="221"/>
      <c r="AV300" s="221"/>
      <c r="AW300" s="221"/>
    </row>
    <row r="301" spans="3:49" x14ac:dyDescent="0.25">
      <c r="C301" s="214"/>
      <c r="D301" s="36"/>
      <c r="E301" s="36"/>
      <c r="F301" s="36"/>
      <c r="G301" s="206"/>
      <c r="H301" s="206"/>
      <c r="I301" s="206"/>
      <c r="J301" s="221"/>
      <c r="K301" s="222"/>
      <c r="L301" s="221"/>
      <c r="M301" s="222"/>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c r="AI301" s="221"/>
      <c r="AJ301" s="221"/>
      <c r="AK301" s="221"/>
      <c r="AL301" s="221"/>
      <c r="AM301" s="221"/>
      <c r="AN301" s="221"/>
      <c r="AO301" s="221"/>
      <c r="AP301" s="221"/>
      <c r="AQ301" s="221"/>
      <c r="AR301" s="221"/>
      <c r="AS301" s="221"/>
      <c r="AT301" s="221"/>
      <c r="AU301" s="221"/>
      <c r="AV301" s="221"/>
      <c r="AW301" s="221"/>
    </row>
    <row r="302" spans="3:49" x14ac:dyDescent="0.25">
      <c r="C302" s="214"/>
      <c r="D302" s="36"/>
      <c r="E302" s="36"/>
      <c r="F302" s="214"/>
      <c r="G302" s="206"/>
      <c r="H302" s="206"/>
      <c r="I302" s="206"/>
      <c r="J302" s="221"/>
      <c r="K302" s="222"/>
      <c r="L302" s="221"/>
      <c r="M302" s="222"/>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c r="AS302" s="221"/>
      <c r="AT302" s="221"/>
      <c r="AU302" s="221"/>
      <c r="AV302" s="221"/>
      <c r="AW302" s="221"/>
    </row>
    <row r="303" spans="3:49" x14ac:dyDescent="0.25">
      <c r="C303" s="214"/>
      <c r="D303" s="36"/>
      <c r="E303" s="36"/>
      <c r="F303" s="214"/>
      <c r="G303" s="206"/>
      <c r="H303" s="206"/>
      <c r="I303" s="206"/>
      <c r="J303" s="221"/>
      <c r="K303" s="222"/>
      <c r="L303" s="221"/>
      <c r="M303" s="222"/>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1"/>
      <c r="AR303" s="221"/>
      <c r="AS303" s="221"/>
      <c r="AT303" s="221"/>
      <c r="AU303" s="221"/>
      <c r="AV303" s="221"/>
      <c r="AW303" s="221"/>
    </row>
    <row r="304" spans="3:49" x14ac:dyDescent="0.25">
      <c r="C304" s="214"/>
      <c r="D304" s="36"/>
      <c r="E304" s="36"/>
      <c r="F304" s="36"/>
      <c r="G304" s="206"/>
      <c r="H304" s="206"/>
      <c r="I304" s="206"/>
      <c r="J304" s="221"/>
      <c r="K304" s="222"/>
      <c r="L304" s="221"/>
      <c r="M304" s="222"/>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c r="AO304" s="221"/>
      <c r="AP304" s="221"/>
      <c r="AQ304" s="221"/>
      <c r="AR304" s="221"/>
      <c r="AS304" s="221"/>
      <c r="AT304" s="221"/>
      <c r="AU304" s="221"/>
      <c r="AV304" s="221"/>
      <c r="AW304" s="221"/>
    </row>
    <row r="305" spans="3:49" x14ac:dyDescent="0.25">
      <c r="C305" s="214"/>
      <c r="D305" s="36"/>
      <c r="E305" s="36"/>
      <c r="F305" s="214"/>
      <c r="G305" s="206"/>
      <c r="H305" s="206"/>
      <c r="I305" s="206"/>
      <c r="J305" s="221"/>
      <c r="K305" s="222"/>
      <c r="L305" s="221"/>
      <c r="M305" s="222"/>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c r="AI305" s="221"/>
      <c r="AJ305" s="221"/>
      <c r="AK305" s="221"/>
      <c r="AL305" s="221"/>
      <c r="AM305" s="221"/>
      <c r="AN305" s="221"/>
      <c r="AO305" s="221"/>
      <c r="AP305" s="221"/>
      <c r="AQ305" s="221"/>
      <c r="AR305" s="221"/>
      <c r="AS305" s="221"/>
      <c r="AT305" s="221"/>
      <c r="AU305" s="221"/>
      <c r="AV305" s="221"/>
      <c r="AW305" s="221"/>
    </row>
    <row r="306" spans="3:49" x14ac:dyDescent="0.25">
      <c r="C306" s="214"/>
      <c r="D306" s="36"/>
      <c r="E306" s="36"/>
      <c r="F306" s="214"/>
      <c r="G306" s="206"/>
      <c r="H306" s="206"/>
      <c r="I306" s="206"/>
      <c r="J306" s="221"/>
      <c r="K306" s="222"/>
      <c r="L306" s="221"/>
      <c r="M306" s="222"/>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c r="AR306" s="221"/>
      <c r="AS306" s="221"/>
      <c r="AT306" s="221"/>
      <c r="AU306" s="221"/>
      <c r="AV306" s="221"/>
      <c r="AW306" s="221"/>
    </row>
    <row r="307" spans="3:49" x14ac:dyDescent="0.25">
      <c r="C307" s="214"/>
      <c r="D307" s="36"/>
      <c r="E307" s="36"/>
      <c r="F307" s="36"/>
      <c r="G307" s="206"/>
      <c r="H307" s="206"/>
      <c r="I307" s="206"/>
      <c r="J307" s="221"/>
      <c r="K307" s="222"/>
      <c r="L307" s="221"/>
      <c r="M307" s="222"/>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c r="AR307" s="221"/>
      <c r="AS307" s="221"/>
      <c r="AT307" s="221"/>
      <c r="AU307" s="221"/>
      <c r="AV307" s="221"/>
      <c r="AW307" s="221"/>
    </row>
    <row r="308" spans="3:49" x14ac:dyDescent="0.25">
      <c r="C308" s="214"/>
      <c r="D308" s="36"/>
      <c r="E308" s="36"/>
      <c r="F308" s="214"/>
      <c r="G308" s="206"/>
      <c r="H308" s="206"/>
      <c r="I308" s="206"/>
      <c r="J308" s="221"/>
      <c r="K308" s="222"/>
      <c r="L308" s="221"/>
      <c r="M308" s="222"/>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c r="AI308" s="221"/>
      <c r="AJ308" s="221"/>
      <c r="AK308" s="221"/>
      <c r="AL308" s="221"/>
      <c r="AM308" s="221"/>
      <c r="AN308" s="221"/>
      <c r="AO308" s="221"/>
      <c r="AP308" s="221"/>
      <c r="AQ308" s="221"/>
      <c r="AR308" s="221"/>
      <c r="AS308" s="221"/>
      <c r="AT308" s="221"/>
      <c r="AU308" s="221"/>
      <c r="AV308" s="221"/>
      <c r="AW308" s="221"/>
    </row>
    <row r="309" spans="3:49" x14ac:dyDescent="0.25">
      <c r="C309" s="214"/>
      <c r="D309" s="36"/>
      <c r="E309" s="36"/>
      <c r="F309" s="214"/>
      <c r="G309" s="206"/>
      <c r="H309" s="206"/>
      <c r="I309" s="206"/>
      <c r="J309" s="221"/>
      <c r="K309" s="222"/>
      <c r="L309" s="221"/>
      <c r="M309" s="222"/>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row>
    <row r="310" spans="3:49" x14ac:dyDescent="0.25">
      <c r="C310" s="214"/>
      <c r="D310" s="36"/>
      <c r="E310" s="36"/>
      <c r="F310" s="36"/>
      <c r="G310" s="206"/>
      <c r="H310" s="206"/>
      <c r="I310" s="206"/>
      <c r="J310" s="221"/>
      <c r="K310" s="222"/>
      <c r="L310" s="221"/>
      <c r="M310" s="222"/>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c r="AI310" s="221"/>
      <c r="AJ310" s="221"/>
      <c r="AK310" s="221"/>
      <c r="AL310" s="221"/>
      <c r="AM310" s="221"/>
      <c r="AN310" s="221"/>
      <c r="AO310" s="221"/>
      <c r="AP310" s="221"/>
      <c r="AQ310" s="221"/>
      <c r="AR310" s="221"/>
      <c r="AS310" s="221"/>
      <c r="AT310" s="221"/>
      <c r="AU310" s="221"/>
      <c r="AV310" s="221"/>
      <c r="AW310" s="221"/>
    </row>
    <row r="311" spans="3:49" x14ac:dyDescent="0.25">
      <c r="C311" s="214"/>
      <c r="D311" s="36"/>
      <c r="E311" s="36"/>
      <c r="F311" s="214"/>
      <c r="G311" s="206"/>
      <c r="H311" s="206"/>
      <c r="I311" s="206"/>
      <c r="J311" s="221"/>
      <c r="K311" s="222"/>
      <c r="L311" s="221"/>
      <c r="M311" s="222"/>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c r="AI311" s="221"/>
      <c r="AJ311" s="221"/>
      <c r="AK311" s="221"/>
      <c r="AL311" s="221"/>
      <c r="AM311" s="221"/>
      <c r="AN311" s="221"/>
      <c r="AO311" s="221"/>
      <c r="AP311" s="221"/>
      <c r="AQ311" s="221"/>
      <c r="AR311" s="221"/>
      <c r="AS311" s="221"/>
      <c r="AT311" s="221"/>
      <c r="AU311" s="221"/>
      <c r="AV311" s="221"/>
      <c r="AW311" s="221"/>
    </row>
    <row r="312" spans="3:49" x14ac:dyDescent="0.25">
      <c r="C312" s="214"/>
      <c r="D312" s="36"/>
      <c r="E312" s="36"/>
      <c r="F312" s="214"/>
      <c r="G312" s="206"/>
      <c r="H312" s="206"/>
      <c r="I312" s="206"/>
      <c r="J312" s="221"/>
      <c r="K312" s="222"/>
      <c r="L312" s="221"/>
      <c r="M312" s="222"/>
      <c r="N312" s="221"/>
      <c r="O312" s="221"/>
      <c r="P312" s="221"/>
      <c r="Q312" s="221"/>
      <c r="R312" s="221"/>
      <c r="S312" s="221"/>
      <c r="T312" s="221"/>
      <c r="U312" s="221"/>
      <c r="V312" s="221"/>
      <c r="W312" s="221"/>
      <c r="X312" s="221"/>
      <c r="Y312" s="221"/>
      <c r="Z312" s="221"/>
      <c r="AA312" s="221"/>
      <c r="AB312" s="221"/>
      <c r="AC312" s="221"/>
      <c r="AD312" s="221"/>
      <c r="AE312" s="221"/>
      <c r="AF312" s="221"/>
      <c r="AG312" s="221"/>
      <c r="AH312" s="221"/>
      <c r="AI312" s="221"/>
      <c r="AJ312" s="221"/>
      <c r="AK312" s="221"/>
      <c r="AL312" s="221"/>
      <c r="AM312" s="221"/>
      <c r="AN312" s="221"/>
      <c r="AO312" s="221"/>
      <c r="AP312" s="221"/>
      <c r="AQ312" s="221"/>
      <c r="AR312" s="221"/>
      <c r="AS312" s="221"/>
      <c r="AT312" s="221"/>
      <c r="AU312" s="221"/>
      <c r="AV312" s="221"/>
      <c r="AW312" s="221"/>
    </row>
    <row r="313" spans="3:49" x14ac:dyDescent="0.25">
      <c r="C313" s="214"/>
      <c r="D313" s="36"/>
      <c r="E313" s="36"/>
      <c r="F313" s="36"/>
      <c r="G313" s="206"/>
      <c r="H313" s="206"/>
      <c r="I313" s="206"/>
      <c r="J313" s="221"/>
      <c r="K313" s="222"/>
      <c r="L313" s="221"/>
      <c r="M313" s="222"/>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c r="AI313" s="221"/>
      <c r="AJ313" s="221"/>
      <c r="AK313" s="221"/>
      <c r="AL313" s="221"/>
      <c r="AM313" s="221"/>
      <c r="AN313" s="221"/>
      <c r="AO313" s="221"/>
      <c r="AP313" s="221"/>
      <c r="AQ313" s="221"/>
      <c r="AR313" s="221"/>
      <c r="AS313" s="221"/>
      <c r="AT313" s="221"/>
      <c r="AU313" s="221"/>
      <c r="AV313" s="221"/>
      <c r="AW313" s="221"/>
    </row>
    <row r="314" spans="3:49" x14ac:dyDescent="0.25">
      <c r="C314" s="214"/>
      <c r="D314" s="36"/>
      <c r="E314" s="36"/>
      <c r="F314" s="214"/>
      <c r="G314" s="206"/>
      <c r="H314" s="206"/>
      <c r="I314" s="206"/>
      <c r="J314" s="221"/>
      <c r="K314" s="222"/>
      <c r="L314" s="221"/>
      <c r="M314" s="222"/>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c r="AI314" s="221"/>
      <c r="AJ314" s="221"/>
      <c r="AK314" s="221"/>
      <c r="AL314" s="221"/>
      <c r="AM314" s="221"/>
      <c r="AN314" s="221"/>
      <c r="AO314" s="221"/>
      <c r="AP314" s="221"/>
      <c r="AQ314" s="221"/>
      <c r="AR314" s="221"/>
      <c r="AS314" s="221"/>
      <c r="AT314" s="221"/>
      <c r="AU314" s="221"/>
      <c r="AV314" s="221"/>
      <c r="AW314" s="221"/>
    </row>
    <row r="315" spans="3:49" x14ac:dyDescent="0.25">
      <c r="C315" s="214"/>
      <c r="D315" s="36"/>
      <c r="E315" s="36"/>
      <c r="F315" s="214"/>
      <c r="G315" s="206"/>
      <c r="H315" s="206"/>
      <c r="I315" s="206"/>
      <c r="J315" s="221"/>
      <c r="K315" s="222"/>
      <c r="L315" s="221"/>
      <c r="M315" s="222"/>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c r="AI315" s="221"/>
      <c r="AJ315" s="221"/>
      <c r="AK315" s="221"/>
      <c r="AL315" s="221"/>
      <c r="AM315" s="221"/>
      <c r="AN315" s="221"/>
      <c r="AO315" s="221"/>
      <c r="AP315" s="221"/>
      <c r="AQ315" s="221"/>
      <c r="AR315" s="221"/>
      <c r="AS315" s="221"/>
      <c r="AT315" s="221"/>
      <c r="AU315" s="221"/>
      <c r="AV315" s="221"/>
      <c r="AW315" s="221"/>
    </row>
    <row r="316" spans="3:49" x14ac:dyDescent="0.25">
      <c r="C316" s="214"/>
      <c r="D316" s="36"/>
      <c r="E316" s="36"/>
      <c r="F316" s="36"/>
      <c r="G316" s="206"/>
      <c r="H316" s="206"/>
      <c r="I316" s="206"/>
      <c r="J316" s="221"/>
      <c r="K316" s="222"/>
      <c r="L316" s="221"/>
      <c r="M316" s="222"/>
      <c r="N316" s="221"/>
      <c r="O316" s="221"/>
      <c r="P316" s="221"/>
      <c r="Q316" s="221"/>
      <c r="R316" s="221"/>
      <c r="S316" s="221"/>
      <c r="T316" s="221"/>
      <c r="U316" s="221"/>
      <c r="V316" s="221"/>
      <c r="W316" s="221"/>
      <c r="X316" s="221"/>
      <c r="Y316" s="221"/>
      <c r="Z316" s="221"/>
      <c r="AA316" s="221"/>
      <c r="AB316" s="221"/>
      <c r="AC316" s="221"/>
      <c r="AD316" s="221"/>
      <c r="AE316" s="221"/>
      <c r="AF316" s="221"/>
      <c r="AG316" s="221"/>
      <c r="AH316" s="221"/>
      <c r="AI316" s="221"/>
      <c r="AJ316" s="221"/>
      <c r="AK316" s="221"/>
      <c r="AL316" s="221"/>
      <c r="AM316" s="221"/>
      <c r="AN316" s="221"/>
      <c r="AO316" s="221"/>
      <c r="AP316" s="221"/>
      <c r="AQ316" s="221"/>
      <c r="AR316" s="221"/>
      <c r="AS316" s="221"/>
      <c r="AT316" s="221"/>
      <c r="AU316" s="221"/>
      <c r="AV316" s="221"/>
      <c r="AW316" s="221"/>
    </row>
    <row r="317" spans="3:49" x14ac:dyDescent="0.25">
      <c r="C317" s="214"/>
      <c r="D317" s="36"/>
      <c r="E317" s="36"/>
      <c r="F317" s="214"/>
      <c r="G317" s="206"/>
      <c r="H317" s="206"/>
      <c r="I317" s="206"/>
      <c r="J317" s="221"/>
      <c r="K317" s="222"/>
      <c r="L317" s="221"/>
      <c r="M317" s="222"/>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c r="AI317" s="221"/>
      <c r="AJ317" s="221"/>
      <c r="AK317" s="221"/>
      <c r="AL317" s="221"/>
      <c r="AM317" s="221"/>
      <c r="AN317" s="221"/>
      <c r="AO317" s="221"/>
      <c r="AP317" s="221"/>
      <c r="AQ317" s="221"/>
      <c r="AR317" s="221"/>
      <c r="AS317" s="221"/>
      <c r="AT317" s="221"/>
      <c r="AU317" s="221"/>
      <c r="AV317" s="221"/>
      <c r="AW317" s="221"/>
    </row>
    <row r="318" spans="3:49" x14ac:dyDescent="0.25">
      <c r="C318" s="214"/>
      <c r="D318" s="36"/>
      <c r="E318" s="36"/>
      <c r="F318" s="214"/>
      <c r="G318" s="206"/>
      <c r="H318" s="206"/>
      <c r="I318" s="206"/>
      <c r="J318" s="221"/>
      <c r="K318" s="222"/>
      <c r="L318" s="221"/>
      <c r="M318" s="222"/>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c r="AI318" s="221"/>
      <c r="AJ318" s="221"/>
      <c r="AK318" s="221"/>
      <c r="AL318" s="221"/>
      <c r="AM318" s="221"/>
      <c r="AN318" s="221"/>
      <c r="AO318" s="221"/>
      <c r="AP318" s="221"/>
      <c r="AQ318" s="221"/>
      <c r="AR318" s="221"/>
      <c r="AS318" s="221"/>
      <c r="AT318" s="221"/>
      <c r="AU318" s="221"/>
      <c r="AV318" s="221"/>
      <c r="AW318" s="221"/>
    </row>
    <row r="319" spans="3:49" x14ac:dyDescent="0.25">
      <c r="C319" s="214"/>
      <c r="D319" s="36"/>
      <c r="E319" s="36"/>
      <c r="F319" s="36"/>
      <c r="G319" s="206"/>
      <c r="H319" s="206"/>
      <c r="I319" s="206"/>
      <c r="J319" s="221"/>
      <c r="K319" s="222"/>
      <c r="L319" s="221"/>
      <c r="M319" s="222"/>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c r="AI319" s="221"/>
      <c r="AJ319" s="221"/>
      <c r="AK319" s="221"/>
      <c r="AL319" s="221"/>
      <c r="AM319" s="221"/>
      <c r="AN319" s="221"/>
      <c r="AO319" s="221"/>
      <c r="AP319" s="221"/>
      <c r="AQ319" s="221"/>
      <c r="AR319" s="221"/>
      <c r="AS319" s="221"/>
      <c r="AT319" s="221"/>
      <c r="AU319" s="221"/>
      <c r="AV319" s="221"/>
      <c r="AW319" s="221"/>
    </row>
    <row r="320" spans="3:49" x14ac:dyDescent="0.25">
      <c r="C320" s="214"/>
      <c r="D320" s="36"/>
      <c r="E320" s="36"/>
      <c r="F320" s="214"/>
      <c r="G320" s="206"/>
      <c r="H320" s="206"/>
      <c r="I320" s="206"/>
      <c r="J320" s="221"/>
      <c r="K320" s="222"/>
      <c r="L320" s="221"/>
      <c r="M320" s="222"/>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c r="AI320" s="221"/>
      <c r="AJ320" s="221"/>
      <c r="AK320" s="221"/>
      <c r="AL320" s="221"/>
      <c r="AM320" s="221"/>
      <c r="AN320" s="221"/>
      <c r="AO320" s="221"/>
      <c r="AP320" s="221"/>
      <c r="AQ320" s="221"/>
      <c r="AR320" s="221"/>
      <c r="AS320" s="221"/>
      <c r="AT320" s="221"/>
      <c r="AU320" s="221"/>
      <c r="AV320" s="221"/>
      <c r="AW320" s="221"/>
    </row>
    <row r="321" spans="3:49" x14ac:dyDescent="0.25">
      <c r="C321" s="214"/>
      <c r="D321" s="36"/>
      <c r="E321" s="36"/>
      <c r="F321" s="214"/>
      <c r="G321" s="206"/>
      <c r="H321" s="206"/>
      <c r="I321" s="206"/>
      <c r="J321" s="221"/>
      <c r="K321" s="222"/>
      <c r="L321" s="221"/>
      <c r="M321" s="222"/>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c r="AS321" s="221"/>
      <c r="AT321" s="221"/>
      <c r="AU321" s="221"/>
      <c r="AV321" s="221"/>
      <c r="AW321" s="221"/>
    </row>
    <row r="322" spans="3:49" x14ac:dyDescent="0.25">
      <c r="C322" s="214"/>
      <c r="D322" s="36"/>
      <c r="E322" s="36"/>
      <c r="F322" s="36"/>
      <c r="G322" s="206"/>
      <c r="H322" s="206"/>
      <c r="I322" s="206"/>
      <c r="J322" s="221"/>
      <c r="K322" s="222"/>
      <c r="L322" s="221"/>
      <c r="M322" s="222"/>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c r="AS322" s="221"/>
      <c r="AT322" s="221"/>
      <c r="AU322" s="221"/>
      <c r="AV322" s="221"/>
      <c r="AW322" s="221"/>
    </row>
    <row r="323" spans="3:49" x14ac:dyDescent="0.25">
      <c r="C323" s="214"/>
      <c r="D323" s="36"/>
      <c r="E323" s="36"/>
      <c r="F323" s="214"/>
      <c r="G323" s="206"/>
      <c r="H323" s="206"/>
      <c r="I323" s="206"/>
      <c r="J323" s="221"/>
      <c r="K323" s="222"/>
      <c r="L323" s="221"/>
      <c r="M323" s="222"/>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21"/>
      <c r="AW323" s="221"/>
    </row>
    <row r="324" spans="3:49" x14ac:dyDescent="0.25">
      <c r="C324" s="214"/>
      <c r="D324" s="36"/>
      <c r="E324" s="36"/>
      <c r="F324" s="214"/>
      <c r="G324" s="206"/>
      <c r="H324" s="206"/>
      <c r="I324" s="206"/>
      <c r="J324" s="221"/>
      <c r="K324" s="222"/>
      <c r="L324" s="221"/>
      <c r="M324" s="222"/>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21"/>
      <c r="AW324" s="221"/>
    </row>
    <row r="325" spans="3:49" x14ac:dyDescent="0.25">
      <c r="C325" s="214"/>
      <c r="D325" s="36"/>
      <c r="E325" s="36"/>
      <c r="F325" s="36"/>
      <c r="G325" s="206"/>
      <c r="H325" s="206"/>
      <c r="I325" s="206"/>
      <c r="J325" s="221"/>
      <c r="K325" s="222"/>
      <c r="L325" s="221"/>
      <c r="M325" s="222"/>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21"/>
      <c r="AW325" s="221"/>
    </row>
    <row r="326" spans="3:49" x14ac:dyDescent="0.25">
      <c r="C326" s="214"/>
      <c r="D326" s="36"/>
      <c r="E326" s="36"/>
      <c r="F326" s="214"/>
      <c r="G326" s="206"/>
      <c r="H326" s="206"/>
      <c r="I326" s="206"/>
      <c r="J326" s="221"/>
      <c r="K326" s="222"/>
      <c r="L326" s="221"/>
      <c r="M326" s="222"/>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c r="AS326" s="221"/>
      <c r="AT326" s="221"/>
      <c r="AU326" s="221"/>
      <c r="AV326" s="221"/>
      <c r="AW326" s="221"/>
    </row>
    <row r="327" spans="3:49" x14ac:dyDescent="0.25">
      <c r="C327" s="214"/>
      <c r="D327" s="36"/>
      <c r="E327" s="36"/>
      <c r="F327" s="214"/>
      <c r="G327" s="206"/>
      <c r="H327" s="206"/>
      <c r="I327" s="206"/>
      <c r="J327" s="221"/>
      <c r="K327" s="222"/>
      <c r="L327" s="221"/>
      <c r="M327" s="222"/>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c r="AR327" s="221"/>
      <c r="AS327" s="221"/>
      <c r="AT327" s="221"/>
      <c r="AU327" s="221"/>
      <c r="AV327" s="221"/>
      <c r="AW327" s="221"/>
    </row>
    <row r="328" spans="3:49" x14ac:dyDescent="0.25">
      <c r="C328" s="214"/>
      <c r="D328" s="36"/>
      <c r="E328" s="36"/>
      <c r="F328" s="36"/>
      <c r="G328" s="206"/>
      <c r="H328" s="206"/>
      <c r="I328" s="206"/>
      <c r="J328" s="221"/>
      <c r="K328" s="222"/>
      <c r="L328" s="221"/>
      <c r="M328" s="222"/>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c r="AS328" s="221"/>
      <c r="AT328" s="221"/>
      <c r="AU328" s="221"/>
      <c r="AV328" s="221"/>
      <c r="AW328" s="221"/>
    </row>
    <row r="329" spans="3:49" x14ac:dyDescent="0.25">
      <c r="C329" s="214"/>
      <c r="D329" s="36"/>
      <c r="E329" s="36"/>
      <c r="F329" s="214"/>
      <c r="G329" s="206"/>
      <c r="H329" s="206"/>
      <c r="I329" s="206"/>
      <c r="J329" s="221"/>
      <c r="K329" s="222"/>
      <c r="L329" s="221"/>
      <c r="M329" s="222"/>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c r="AR329" s="221"/>
      <c r="AS329" s="221"/>
      <c r="AT329" s="221"/>
      <c r="AU329" s="221"/>
      <c r="AV329" s="221"/>
      <c r="AW329" s="221"/>
    </row>
    <row r="330" spans="3:49" x14ac:dyDescent="0.25">
      <c r="C330" s="214"/>
      <c r="D330" s="36"/>
      <c r="E330" s="36"/>
      <c r="F330" s="214"/>
      <c r="G330" s="206"/>
      <c r="H330" s="206"/>
      <c r="I330" s="206"/>
      <c r="J330" s="221"/>
      <c r="K330" s="222"/>
      <c r="L330" s="221"/>
      <c r="M330" s="222"/>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c r="AI330" s="221"/>
      <c r="AJ330" s="221"/>
      <c r="AK330" s="221"/>
      <c r="AL330" s="221"/>
      <c r="AM330" s="221"/>
      <c r="AN330" s="221"/>
      <c r="AO330" s="221"/>
      <c r="AP330" s="221"/>
      <c r="AQ330" s="221"/>
      <c r="AR330" s="221"/>
      <c r="AS330" s="221"/>
      <c r="AT330" s="221"/>
      <c r="AU330" s="221"/>
      <c r="AV330" s="221"/>
      <c r="AW330" s="221"/>
    </row>
    <row r="331" spans="3:49" x14ac:dyDescent="0.25">
      <c r="C331" s="214"/>
      <c r="D331" s="36"/>
      <c r="E331" s="36"/>
      <c r="F331" s="36"/>
      <c r="G331" s="206"/>
      <c r="H331" s="206"/>
      <c r="I331" s="206"/>
      <c r="J331" s="221"/>
      <c r="K331" s="222"/>
      <c r="L331" s="221"/>
      <c r="M331" s="222"/>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c r="AI331" s="221"/>
      <c r="AJ331" s="221"/>
      <c r="AK331" s="221"/>
      <c r="AL331" s="221"/>
      <c r="AM331" s="221"/>
      <c r="AN331" s="221"/>
      <c r="AO331" s="221"/>
      <c r="AP331" s="221"/>
      <c r="AQ331" s="221"/>
      <c r="AR331" s="221"/>
      <c r="AS331" s="221"/>
      <c r="AT331" s="221"/>
      <c r="AU331" s="221"/>
      <c r="AV331" s="221"/>
      <c r="AW331" s="221"/>
    </row>
    <row r="332" spans="3:49" x14ac:dyDescent="0.25">
      <c r="C332" s="214"/>
      <c r="D332" s="36"/>
      <c r="E332" s="36"/>
      <c r="F332" s="214"/>
      <c r="G332" s="206"/>
      <c r="H332" s="206"/>
      <c r="I332" s="206"/>
      <c r="J332" s="221"/>
      <c r="K332" s="222"/>
      <c r="L332" s="221"/>
      <c r="M332" s="222"/>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c r="AI332" s="221"/>
      <c r="AJ332" s="221"/>
      <c r="AK332" s="221"/>
      <c r="AL332" s="221"/>
      <c r="AM332" s="221"/>
      <c r="AN332" s="221"/>
      <c r="AO332" s="221"/>
      <c r="AP332" s="221"/>
      <c r="AQ332" s="221"/>
      <c r="AR332" s="221"/>
      <c r="AS332" s="221"/>
      <c r="AT332" s="221"/>
      <c r="AU332" s="221"/>
      <c r="AV332" s="221"/>
      <c r="AW332" s="221"/>
    </row>
    <row r="333" spans="3:49" x14ac:dyDescent="0.25">
      <c r="C333" s="214"/>
      <c r="D333" s="36"/>
      <c r="E333" s="36"/>
      <c r="F333" s="214"/>
      <c r="G333" s="206"/>
      <c r="H333" s="206"/>
      <c r="I333" s="206"/>
      <c r="J333" s="221"/>
      <c r="K333" s="222"/>
      <c r="L333" s="221"/>
      <c r="M333" s="222"/>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c r="AI333" s="221"/>
      <c r="AJ333" s="221"/>
      <c r="AK333" s="221"/>
      <c r="AL333" s="221"/>
      <c r="AM333" s="221"/>
      <c r="AN333" s="221"/>
      <c r="AO333" s="221"/>
      <c r="AP333" s="221"/>
      <c r="AQ333" s="221"/>
      <c r="AR333" s="221"/>
      <c r="AS333" s="221"/>
      <c r="AT333" s="221"/>
      <c r="AU333" s="221"/>
      <c r="AV333" s="221"/>
      <c r="AW333" s="221"/>
    </row>
    <row r="334" spans="3:49" x14ac:dyDescent="0.25">
      <c r="C334" s="214"/>
      <c r="D334" s="36"/>
      <c r="E334" s="36"/>
      <c r="F334" s="36"/>
      <c r="G334" s="206"/>
      <c r="H334" s="206"/>
      <c r="I334" s="206"/>
      <c r="J334" s="221"/>
      <c r="K334" s="222"/>
      <c r="L334" s="221"/>
      <c r="M334" s="222"/>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c r="AI334" s="221"/>
      <c r="AJ334" s="221"/>
      <c r="AK334" s="221"/>
      <c r="AL334" s="221"/>
      <c r="AM334" s="221"/>
      <c r="AN334" s="221"/>
      <c r="AO334" s="221"/>
      <c r="AP334" s="221"/>
      <c r="AQ334" s="221"/>
      <c r="AR334" s="221"/>
      <c r="AS334" s="221"/>
      <c r="AT334" s="221"/>
      <c r="AU334" s="221"/>
      <c r="AV334" s="221"/>
      <c r="AW334" s="221"/>
    </row>
    <row r="335" spans="3:49" x14ac:dyDescent="0.25">
      <c r="C335" s="214"/>
      <c r="D335" s="36"/>
      <c r="E335" s="36"/>
      <c r="F335" s="214"/>
      <c r="G335" s="206"/>
      <c r="H335" s="206"/>
      <c r="I335" s="206"/>
      <c r="J335" s="221"/>
      <c r="K335" s="222"/>
      <c r="L335" s="221"/>
      <c r="M335" s="222"/>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c r="AS335" s="221"/>
      <c r="AT335" s="221"/>
      <c r="AU335" s="221"/>
      <c r="AV335" s="221"/>
      <c r="AW335" s="221"/>
    </row>
    <row r="336" spans="3:49" x14ac:dyDescent="0.25">
      <c r="C336" s="214"/>
      <c r="D336" s="36"/>
      <c r="E336" s="36"/>
      <c r="F336" s="214"/>
      <c r="G336" s="206"/>
      <c r="H336" s="206"/>
      <c r="I336" s="206"/>
      <c r="J336" s="221"/>
      <c r="K336" s="222"/>
      <c r="L336" s="221"/>
      <c r="M336" s="222"/>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c r="AI336" s="221"/>
      <c r="AJ336" s="221"/>
      <c r="AK336" s="221"/>
      <c r="AL336" s="221"/>
      <c r="AM336" s="221"/>
      <c r="AN336" s="221"/>
      <c r="AO336" s="221"/>
      <c r="AP336" s="221"/>
      <c r="AQ336" s="221"/>
      <c r="AR336" s="221"/>
      <c r="AS336" s="221"/>
      <c r="AT336" s="221"/>
      <c r="AU336" s="221"/>
      <c r="AV336" s="221"/>
      <c r="AW336" s="221"/>
    </row>
    <row r="337" spans="3:49" x14ac:dyDescent="0.25">
      <c r="C337" s="214"/>
      <c r="D337" s="36"/>
      <c r="E337" s="36"/>
      <c r="F337" s="36"/>
      <c r="G337" s="206"/>
      <c r="H337" s="206"/>
      <c r="I337" s="206"/>
      <c r="J337" s="221"/>
      <c r="K337" s="222"/>
      <c r="L337" s="221"/>
      <c r="M337" s="222"/>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c r="AI337" s="221"/>
      <c r="AJ337" s="221"/>
      <c r="AK337" s="221"/>
      <c r="AL337" s="221"/>
      <c r="AM337" s="221"/>
      <c r="AN337" s="221"/>
      <c r="AO337" s="221"/>
      <c r="AP337" s="221"/>
      <c r="AQ337" s="221"/>
      <c r="AR337" s="221"/>
      <c r="AS337" s="221"/>
      <c r="AT337" s="221"/>
      <c r="AU337" s="221"/>
      <c r="AV337" s="221"/>
      <c r="AW337" s="221"/>
    </row>
    <row r="338" spans="3:49" x14ac:dyDescent="0.25">
      <c r="C338" s="214"/>
      <c r="D338" s="36"/>
      <c r="E338" s="36"/>
      <c r="F338" s="214"/>
      <c r="G338" s="206"/>
      <c r="H338" s="206"/>
      <c r="I338" s="206"/>
      <c r="J338" s="221"/>
      <c r="K338" s="222"/>
      <c r="L338" s="221"/>
      <c r="M338" s="222"/>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c r="AI338" s="221"/>
      <c r="AJ338" s="221"/>
      <c r="AK338" s="221"/>
      <c r="AL338" s="221"/>
      <c r="AM338" s="221"/>
      <c r="AN338" s="221"/>
      <c r="AO338" s="221"/>
      <c r="AP338" s="221"/>
      <c r="AQ338" s="221"/>
      <c r="AR338" s="221"/>
      <c r="AS338" s="221"/>
      <c r="AT338" s="221"/>
      <c r="AU338" s="221"/>
      <c r="AV338" s="221"/>
      <c r="AW338" s="221"/>
    </row>
    <row r="339" spans="3:49" x14ac:dyDescent="0.25">
      <c r="C339" s="214"/>
      <c r="D339" s="36"/>
      <c r="E339" s="36"/>
      <c r="F339" s="214"/>
      <c r="G339" s="206"/>
      <c r="H339" s="206"/>
      <c r="I339" s="206"/>
      <c r="J339" s="221"/>
      <c r="K339" s="222"/>
      <c r="L339" s="221"/>
      <c r="M339" s="222"/>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1"/>
      <c r="AI339" s="221"/>
      <c r="AJ339" s="221"/>
      <c r="AK339" s="221"/>
      <c r="AL339" s="221"/>
      <c r="AM339" s="221"/>
      <c r="AN339" s="221"/>
      <c r="AO339" s="221"/>
      <c r="AP339" s="221"/>
      <c r="AQ339" s="221"/>
      <c r="AR339" s="221"/>
      <c r="AS339" s="221"/>
      <c r="AT339" s="221"/>
      <c r="AU339" s="221"/>
      <c r="AV339" s="221"/>
      <c r="AW339" s="221"/>
    </row>
    <row r="340" spans="3:49" x14ac:dyDescent="0.25">
      <c r="C340" s="214"/>
      <c r="D340" s="36"/>
      <c r="E340" s="36"/>
      <c r="F340" s="36"/>
      <c r="G340" s="206"/>
      <c r="H340" s="206"/>
      <c r="I340" s="206"/>
      <c r="J340" s="221"/>
      <c r="K340" s="222"/>
      <c r="L340" s="221"/>
      <c r="M340" s="222"/>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c r="AI340" s="221"/>
      <c r="AJ340" s="221"/>
      <c r="AK340" s="221"/>
      <c r="AL340" s="221"/>
      <c r="AM340" s="221"/>
      <c r="AN340" s="221"/>
      <c r="AO340" s="221"/>
      <c r="AP340" s="221"/>
      <c r="AQ340" s="221"/>
      <c r="AR340" s="221"/>
      <c r="AS340" s="221"/>
      <c r="AT340" s="221"/>
      <c r="AU340" s="221"/>
      <c r="AV340" s="221"/>
      <c r="AW340" s="221"/>
    </row>
    <row r="341" spans="3:49" x14ac:dyDescent="0.25">
      <c r="C341" s="214"/>
      <c r="D341" s="36"/>
      <c r="E341" s="36"/>
      <c r="F341" s="214"/>
      <c r="G341" s="206"/>
      <c r="H341" s="206"/>
      <c r="I341" s="206"/>
      <c r="J341" s="221"/>
      <c r="K341" s="222"/>
      <c r="L341" s="221"/>
      <c r="M341" s="222"/>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c r="AI341" s="221"/>
      <c r="AJ341" s="221"/>
      <c r="AK341" s="221"/>
      <c r="AL341" s="221"/>
      <c r="AM341" s="221"/>
      <c r="AN341" s="221"/>
      <c r="AO341" s="221"/>
      <c r="AP341" s="221"/>
      <c r="AQ341" s="221"/>
      <c r="AR341" s="221"/>
      <c r="AS341" s="221"/>
      <c r="AT341" s="221"/>
      <c r="AU341" s="221"/>
      <c r="AV341" s="221"/>
      <c r="AW341" s="221"/>
    </row>
    <row r="342" spans="3:49" x14ac:dyDescent="0.25">
      <c r="C342" s="214"/>
      <c r="D342" s="36"/>
      <c r="E342" s="36"/>
      <c r="F342" s="214"/>
      <c r="G342" s="206"/>
      <c r="H342" s="206"/>
      <c r="I342" s="206"/>
      <c r="J342" s="221"/>
      <c r="K342" s="222"/>
      <c r="L342" s="221"/>
      <c r="M342" s="222"/>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221"/>
      <c r="AJ342" s="221"/>
      <c r="AK342" s="221"/>
      <c r="AL342" s="221"/>
      <c r="AM342" s="221"/>
      <c r="AN342" s="221"/>
      <c r="AO342" s="221"/>
      <c r="AP342" s="221"/>
      <c r="AQ342" s="221"/>
      <c r="AR342" s="221"/>
      <c r="AS342" s="221"/>
      <c r="AT342" s="221"/>
      <c r="AU342" s="221"/>
      <c r="AV342" s="221"/>
      <c r="AW342" s="221"/>
    </row>
    <row r="343" spans="3:49" x14ac:dyDescent="0.25">
      <c r="C343" s="214"/>
      <c r="D343" s="36"/>
      <c r="E343" s="36"/>
      <c r="F343" s="36"/>
      <c r="G343" s="206"/>
      <c r="H343" s="206"/>
      <c r="I343" s="206"/>
      <c r="J343" s="221"/>
      <c r="K343" s="222"/>
      <c r="L343" s="221"/>
      <c r="M343" s="222"/>
      <c r="N343" s="221"/>
      <c r="O343" s="221"/>
      <c r="P343" s="221"/>
      <c r="Q343" s="221"/>
      <c r="R343" s="221"/>
      <c r="S343" s="221"/>
      <c r="T343" s="221"/>
      <c r="U343" s="221"/>
      <c r="V343" s="221"/>
      <c r="W343" s="221"/>
      <c r="X343" s="221"/>
      <c r="Y343" s="221"/>
      <c r="Z343" s="221"/>
      <c r="AA343" s="221"/>
      <c r="AB343" s="221"/>
      <c r="AC343" s="221"/>
      <c r="AD343" s="221"/>
      <c r="AE343" s="221"/>
      <c r="AF343" s="221"/>
      <c r="AG343" s="221"/>
      <c r="AH343" s="221"/>
      <c r="AI343" s="221"/>
      <c r="AJ343" s="221"/>
      <c r="AK343" s="221"/>
      <c r="AL343" s="221"/>
      <c r="AM343" s="221"/>
      <c r="AN343" s="221"/>
      <c r="AO343" s="221"/>
      <c r="AP343" s="221"/>
      <c r="AQ343" s="221"/>
      <c r="AR343" s="221"/>
      <c r="AS343" s="221"/>
      <c r="AT343" s="221"/>
      <c r="AU343" s="221"/>
      <c r="AV343" s="221"/>
      <c r="AW343" s="221"/>
    </row>
    <row r="344" spans="3:49" x14ac:dyDescent="0.25">
      <c r="C344" s="214"/>
      <c r="D344" s="36"/>
      <c r="E344" s="36"/>
      <c r="F344" s="214"/>
      <c r="G344" s="206"/>
      <c r="H344" s="206"/>
      <c r="I344" s="206"/>
      <c r="J344" s="221"/>
      <c r="K344" s="222"/>
      <c r="L344" s="221"/>
      <c r="M344" s="222"/>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1"/>
      <c r="AR344" s="221"/>
      <c r="AS344" s="221"/>
      <c r="AT344" s="221"/>
      <c r="AU344" s="221"/>
      <c r="AV344" s="221"/>
      <c r="AW344" s="221"/>
    </row>
    <row r="345" spans="3:49" x14ac:dyDescent="0.25">
      <c r="C345" s="214"/>
      <c r="D345" s="36"/>
      <c r="E345" s="36"/>
      <c r="F345" s="214"/>
      <c r="G345" s="206"/>
      <c r="H345" s="206"/>
      <c r="I345" s="206"/>
      <c r="J345" s="221"/>
      <c r="K345" s="222"/>
      <c r="L345" s="221"/>
      <c r="M345" s="222"/>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c r="AI345" s="221"/>
      <c r="AJ345" s="221"/>
      <c r="AK345" s="221"/>
      <c r="AL345" s="221"/>
      <c r="AM345" s="221"/>
      <c r="AN345" s="221"/>
      <c r="AO345" s="221"/>
      <c r="AP345" s="221"/>
      <c r="AQ345" s="221"/>
      <c r="AR345" s="221"/>
      <c r="AS345" s="221"/>
      <c r="AT345" s="221"/>
      <c r="AU345" s="221"/>
      <c r="AV345" s="221"/>
      <c r="AW345" s="221"/>
    </row>
    <row r="346" spans="3:49" x14ac:dyDescent="0.25">
      <c r="C346" s="214"/>
      <c r="D346" s="36"/>
      <c r="E346" s="36"/>
      <c r="F346" s="36"/>
      <c r="G346" s="206"/>
      <c r="H346" s="206"/>
      <c r="I346" s="206"/>
      <c r="J346" s="221"/>
      <c r="K346" s="222"/>
      <c r="L346" s="221"/>
      <c r="M346" s="222"/>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row>
    <row r="347" spans="3:49" x14ac:dyDescent="0.25">
      <c r="C347" s="214"/>
      <c r="D347" s="36"/>
      <c r="E347" s="36"/>
      <c r="F347" s="214"/>
      <c r="G347" s="206"/>
      <c r="H347" s="206"/>
      <c r="I347" s="206"/>
      <c r="J347" s="221"/>
      <c r="K347" s="222"/>
      <c r="L347" s="221"/>
      <c r="M347" s="222"/>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c r="AS347" s="221"/>
      <c r="AT347" s="221"/>
      <c r="AU347" s="221"/>
      <c r="AV347" s="221"/>
      <c r="AW347" s="221"/>
    </row>
    <row r="348" spans="3:49" x14ac:dyDescent="0.25">
      <c r="C348" s="214"/>
      <c r="D348" s="36"/>
      <c r="E348" s="36"/>
      <c r="F348" s="214"/>
      <c r="G348" s="206"/>
      <c r="H348" s="206"/>
      <c r="I348" s="206"/>
      <c r="J348" s="221"/>
      <c r="K348" s="222"/>
      <c r="L348" s="221"/>
      <c r="M348" s="222"/>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c r="AI348" s="221"/>
      <c r="AJ348" s="221"/>
      <c r="AK348" s="221"/>
      <c r="AL348" s="221"/>
      <c r="AM348" s="221"/>
      <c r="AN348" s="221"/>
      <c r="AO348" s="221"/>
      <c r="AP348" s="221"/>
      <c r="AQ348" s="221"/>
      <c r="AR348" s="221"/>
      <c r="AS348" s="221"/>
      <c r="AT348" s="221"/>
      <c r="AU348" s="221"/>
      <c r="AV348" s="221"/>
      <c r="AW348" s="221"/>
    </row>
    <row r="349" spans="3:49" x14ac:dyDescent="0.25">
      <c r="C349" s="214"/>
      <c r="D349" s="36"/>
      <c r="E349" s="36"/>
      <c r="F349" s="36"/>
      <c r="G349" s="206"/>
      <c r="H349" s="206"/>
      <c r="I349" s="206"/>
      <c r="J349" s="221"/>
      <c r="K349" s="222"/>
      <c r="L349" s="221"/>
      <c r="M349" s="222"/>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c r="AI349" s="221"/>
      <c r="AJ349" s="221"/>
      <c r="AK349" s="221"/>
      <c r="AL349" s="221"/>
      <c r="AM349" s="221"/>
      <c r="AN349" s="221"/>
      <c r="AO349" s="221"/>
      <c r="AP349" s="221"/>
      <c r="AQ349" s="221"/>
      <c r="AR349" s="221"/>
      <c r="AS349" s="221"/>
      <c r="AT349" s="221"/>
      <c r="AU349" s="221"/>
      <c r="AV349" s="221"/>
      <c r="AW349" s="221"/>
    </row>
    <row r="350" spans="3:49" x14ac:dyDescent="0.25">
      <c r="C350" s="214"/>
      <c r="D350" s="36"/>
      <c r="E350" s="36"/>
      <c r="F350" s="214"/>
      <c r="G350" s="206"/>
      <c r="H350" s="206"/>
      <c r="I350" s="206"/>
      <c r="J350" s="221"/>
      <c r="K350" s="222"/>
      <c r="L350" s="221"/>
      <c r="M350" s="222"/>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c r="AR350" s="221"/>
      <c r="AS350" s="221"/>
      <c r="AT350" s="221"/>
      <c r="AU350" s="221"/>
      <c r="AV350" s="221"/>
      <c r="AW350" s="221"/>
    </row>
    <row r="351" spans="3:49" x14ac:dyDescent="0.25">
      <c r="C351" s="214"/>
      <c r="D351" s="36"/>
      <c r="E351" s="36"/>
      <c r="F351" s="214"/>
      <c r="G351" s="206"/>
      <c r="H351" s="206"/>
      <c r="I351" s="206"/>
      <c r="J351" s="221"/>
      <c r="K351" s="222"/>
      <c r="L351" s="221"/>
      <c r="M351" s="222"/>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c r="AI351" s="221"/>
      <c r="AJ351" s="221"/>
      <c r="AK351" s="221"/>
      <c r="AL351" s="221"/>
      <c r="AM351" s="221"/>
      <c r="AN351" s="221"/>
      <c r="AO351" s="221"/>
      <c r="AP351" s="221"/>
      <c r="AQ351" s="221"/>
      <c r="AR351" s="221"/>
      <c r="AS351" s="221"/>
      <c r="AT351" s="221"/>
      <c r="AU351" s="221"/>
      <c r="AV351" s="221"/>
      <c r="AW351" s="221"/>
    </row>
    <row r="352" spans="3:49" x14ac:dyDescent="0.25">
      <c r="C352" s="214"/>
      <c r="D352" s="36"/>
      <c r="E352" s="36"/>
      <c r="F352" s="36"/>
      <c r="G352" s="206"/>
      <c r="H352" s="206"/>
      <c r="I352" s="206"/>
      <c r="J352" s="221"/>
      <c r="K352" s="222"/>
      <c r="L352" s="221"/>
      <c r="M352" s="222"/>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c r="AS352" s="221"/>
      <c r="AT352" s="221"/>
      <c r="AU352" s="221"/>
      <c r="AV352" s="221"/>
      <c r="AW352" s="221"/>
    </row>
    <row r="353" spans="3:49" x14ac:dyDescent="0.25">
      <c r="C353" s="214"/>
      <c r="D353" s="36"/>
      <c r="E353" s="36"/>
      <c r="F353" s="214"/>
      <c r="G353" s="206"/>
      <c r="H353" s="206"/>
      <c r="I353" s="206"/>
      <c r="J353" s="221"/>
      <c r="K353" s="222"/>
      <c r="L353" s="221"/>
      <c r="M353" s="222"/>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c r="AI353" s="221"/>
      <c r="AJ353" s="221"/>
      <c r="AK353" s="221"/>
      <c r="AL353" s="221"/>
      <c r="AM353" s="221"/>
      <c r="AN353" s="221"/>
      <c r="AO353" s="221"/>
      <c r="AP353" s="221"/>
      <c r="AQ353" s="221"/>
      <c r="AR353" s="221"/>
      <c r="AS353" s="221"/>
      <c r="AT353" s="221"/>
      <c r="AU353" s="221"/>
      <c r="AV353" s="221"/>
      <c r="AW353" s="221"/>
    </row>
    <row r="354" spans="3:49" x14ac:dyDescent="0.25">
      <c r="C354" s="214"/>
      <c r="D354" s="36"/>
      <c r="E354" s="36"/>
      <c r="F354" s="214"/>
      <c r="G354" s="206"/>
      <c r="H354" s="206"/>
      <c r="I354" s="206"/>
      <c r="J354" s="221"/>
      <c r="K354" s="222"/>
      <c r="L354" s="221"/>
      <c r="M354" s="222"/>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c r="AI354" s="221"/>
      <c r="AJ354" s="221"/>
      <c r="AK354" s="221"/>
      <c r="AL354" s="221"/>
      <c r="AM354" s="221"/>
      <c r="AN354" s="221"/>
      <c r="AO354" s="221"/>
      <c r="AP354" s="221"/>
      <c r="AQ354" s="221"/>
      <c r="AR354" s="221"/>
      <c r="AS354" s="221"/>
      <c r="AT354" s="221"/>
      <c r="AU354" s="221"/>
      <c r="AV354" s="221"/>
      <c r="AW354" s="221"/>
    </row>
    <row r="355" spans="3:49" x14ac:dyDescent="0.25">
      <c r="C355" s="214"/>
      <c r="D355" s="36"/>
      <c r="E355" s="36"/>
      <c r="F355" s="36"/>
      <c r="G355" s="206"/>
      <c r="H355" s="206"/>
      <c r="I355" s="206"/>
      <c r="J355" s="221"/>
      <c r="K355" s="222"/>
      <c r="L355" s="221"/>
      <c r="M355" s="222"/>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c r="AI355" s="221"/>
      <c r="AJ355" s="221"/>
      <c r="AK355" s="221"/>
      <c r="AL355" s="221"/>
      <c r="AM355" s="221"/>
      <c r="AN355" s="221"/>
      <c r="AO355" s="221"/>
      <c r="AP355" s="221"/>
      <c r="AQ355" s="221"/>
      <c r="AR355" s="221"/>
      <c r="AS355" s="221"/>
      <c r="AT355" s="221"/>
      <c r="AU355" s="221"/>
      <c r="AV355" s="221"/>
      <c r="AW355" s="221"/>
    </row>
    <row r="356" spans="3:49" x14ac:dyDescent="0.25">
      <c r="C356" s="214"/>
      <c r="D356" s="36"/>
      <c r="E356" s="36"/>
      <c r="F356" s="214"/>
      <c r="G356" s="206"/>
      <c r="H356" s="206"/>
      <c r="I356" s="206"/>
      <c r="J356" s="221"/>
      <c r="K356" s="222"/>
      <c r="L356" s="221"/>
      <c r="M356" s="222"/>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c r="AI356" s="221"/>
      <c r="AJ356" s="221"/>
      <c r="AK356" s="221"/>
      <c r="AL356" s="221"/>
      <c r="AM356" s="221"/>
      <c r="AN356" s="221"/>
      <c r="AO356" s="221"/>
      <c r="AP356" s="221"/>
      <c r="AQ356" s="221"/>
      <c r="AR356" s="221"/>
      <c r="AS356" s="221"/>
      <c r="AT356" s="221"/>
      <c r="AU356" s="221"/>
      <c r="AV356" s="221"/>
      <c r="AW356" s="221"/>
    </row>
    <row r="357" spans="3:49" x14ac:dyDescent="0.25">
      <c r="C357" s="214"/>
      <c r="D357" s="36"/>
      <c r="E357" s="36"/>
      <c r="F357" s="214"/>
      <c r="G357" s="206"/>
      <c r="H357" s="206"/>
      <c r="I357" s="206"/>
      <c r="J357" s="221"/>
      <c r="K357" s="222"/>
      <c r="L357" s="221"/>
      <c r="M357" s="222"/>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c r="AI357" s="221"/>
      <c r="AJ357" s="221"/>
      <c r="AK357" s="221"/>
      <c r="AL357" s="221"/>
      <c r="AM357" s="221"/>
      <c r="AN357" s="221"/>
      <c r="AO357" s="221"/>
      <c r="AP357" s="221"/>
      <c r="AQ357" s="221"/>
      <c r="AR357" s="221"/>
      <c r="AS357" s="221"/>
      <c r="AT357" s="221"/>
      <c r="AU357" s="221"/>
      <c r="AV357" s="221"/>
      <c r="AW357" s="221"/>
    </row>
    <row r="358" spans="3:49" x14ac:dyDescent="0.25">
      <c r="C358" s="214"/>
      <c r="D358" s="36"/>
      <c r="E358" s="36"/>
      <c r="F358" s="36"/>
      <c r="G358" s="206"/>
      <c r="H358" s="206"/>
      <c r="I358" s="206"/>
      <c r="J358" s="221"/>
      <c r="K358" s="222"/>
      <c r="L358" s="221"/>
      <c r="M358" s="222"/>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1"/>
      <c r="AJ358" s="221"/>
      <c r="AK358" s="221"/>
      <c r="AL358" s="221"/>
      <c r="AM358" s="221"/>
      <c r="AN358" s="221"/>
      <c r="AO358" s="221"/>
      <c r="AP358" s="221"/>
      <c r="AQ358" s="221"/>
      <c r="AR358" s="221"/>
      <c r="AS358" s="221"/>
      <c r="AT358" s="221"/>
      <c r="AU358" s="221"/>
      <c r="AV358" s="221"/>
      <c r="AW358" s="221"/>
    </row>
    <row r="359" spans="3:49" x14ac:dyDescent="0.25">
      <c r="C359" s="214"/>
      <c r="D359" s="36"/>
      <c r="E359" s="36"/>
      <c r="F359" s="214"/>
      <c r="G359" s="206"/>
      <c r="H359" s="206"/>
      <c r="I359" s="206"/>
      <c r="J359" s="221"/>
      <c r="K359" s="222"/>
      <c r="L359" s="221"/>
      <c r="M359" s="222"/>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c r="AI359" s="221"/>
      <c r="AJ359" s="221"/>
      <c r="AK359" s="221"/>
      <c r="AL359" s="221"/>
      <c r="AM359" s="221"/>
      <c r="AN359" s="221"/>
      <c r="AO359" s="221"/>
      <c r="AP359" s="221"/>
      <c r="AQ359" s="221"/>
      <c r="AR359" s="221"/>
      <c r="AS359" s="221"/>
      <c r="AT359" s="221"/>
      <c r="AU359" s="221"/>
      <c r="AV359" s="221"/>
      <c r="AW359" s="221"/>
    </row>
    <row r="360" spans="3:49" x14ac:dyDescent="0.25">
      <c r="C360" s="214"/>
      <c r="D360" s="36"/>
      <c r="E360" s="36"/>
      <c r="F360" s="214"/>
      <c r="G360" s="206"/>
      <c r="H360" s="206"/>
      <c r="I360" s="206"/>
      <c r="J360" s="221"/>
      <c r="K360" s="222"/>
      <c r="L360" s="221"/>
      <c r="M360" s="222"/>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c r="AI360" s="221"/>
      <c r="AJ360" s="221"/>
      <c r="AK360" s="221"/>
      <c r="AL360" s="221"/>
      <c r="AM360" s="221"/>
      <c r="AN360" s="221"/>
      <c r="AO360" s="221"/>
      <c r="AP360" s="221"/>
      <c r="AQ360" s="221"/>
      <c r="AR360" s="221"/>
      <c r="AS360" s="221"/>
      <c r="AT360" s="221"/>
      <c r="AU360" s="221"/>
      <c r="AV360" s="221"/>
      <c r="AW360" s="221"/>
    </row>
    <row r="361" spans="3:49" x14ac:dyDescent="0.25">
      <c r="C361" s="214"/>
      <c r="D361" s="36"/>
      <c r="E361" s="36"/>
      <c r="F361" s="36"/>
      <c r="G361" s="206"/>
      <c r="H361" s="206"/>
      <c r="I361" s="206"/>
      <c r="J361" s="221"/>
      <c r="K361" s="222"/>
      <c r="L361" s="221"/>
      <c r="M361" s="222"/>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c r="AR361" s="221"/>
      <c r="AS361" s="221"/>
      <c r="AT361" s="221"/>
      <c r="AU361" s="221"/>
      <c r="AV361" s="221"/>
      <c r="AW361" s="221"/>
    </row>
    <row r="362" spans="3:49" x14ac:dyDescent="0.25">
      <c r="C362" s="214"/>
      <c r="D362" s="36"/>
      <c r="E362" s="36"/>
      <c r="F362" s="214"/>
      <c r="G362" s="206"/>
      <c r="H362" s="206"/>
      <c r="I362" s="206"/>
      <c r="J362" s="221"/>
      <c r="K362" s="222"/>
      <c r="L362" s="221"/>
      <c r="M362" s="222"/>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c r="AI362" s="221"/>
      <c r="AJ362" s="221"/>
      <c r="AK362" s="221"/>
      <c r="AL362" s="221"/>
      <c r="AM362" s="221"/>
      <c r="AN362" s="221"/>
      <c r="AO362" s="221"/>
      <c r="AP362" s="221"/>
      <c r="AQ362" s="221"/>
      <c r="AR362" s="221"/>
      <c r="AS362" s="221"/>
      <c r="AT362" s="221"/>
      <c r="AU362" s="221"/>
      <c r="AV362" s="221"/>
      <c r="AW362" s="221"/>
    </row>
    <row r="363" spans="3:49" x14ac:dyDescent="0.25">
      <c r="C363" s="214"/>
      <c r="D363" s="36"/>
      <c r="E363" s="36"/>
      <c r="F363" s="214"/>
      <c r="G363" s="206"/>
      <c r="H363" s="206"/>
      <c r="I363" s="206"/>
      <c r="J363" s="221"/>
      <c r="K363" s="222"/>
      <c r="L363" s="221"/>
      <c r="M363" s="222"/>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c r="AR363" s="221"/>
      <c r="AS363" s="221"/>
      <c r="AT363" s="221"/>
      <c r="AU363" s="221"/>
      <c r="AV363" s="221"/>
      <c r="AW363" s="221"/>
    </row>
    <row r="364" spans="3:49" x14ac:dyDescent="0.25">
      <c r="C364" s="214"/>
      <c r="D364" s="36"/>
      <c r="E364" s="36"/>
      <c r="F364" s="36"/>
      <c r="G364" s="206"/>
      <c r="H364" s="206"/>
      <c r="I364" s="206"/>
      <c r="J364" s="221"/>
      <c r="K364" s="222"/>
      <c r="L364" s="221"/>
      <c r="M364" s="222"/>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c r="AR364" s="221"/>
      <c r="AS364" s="221"/>
      <c r="AT364" s="221"/>
      <c r="AU364" s="221"/>
      <c r="AV364" s="221"/>
      <c r="AW364" s="221"/>
    </row>
    <row r="365" spans="3:49" x14ac:dyDescent="0.25">
      <c r="C365" s="214"/>
      <c r="D365" s="36"/>
      <c r="E365" s="36"/>
      <c r="F365" s="214"/>
      <c r="G365" s="206"/>
      <c r="H365" s="206"/>
      <c r="I365" s="206"/>
      <c r="J365" s="221"/>
      <c r="K365" s="222"/>
      <c r="L365" s="221"/>
      <c r="M365" s="222"/>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c r="AR365" s="221"/>
      <c r="AS365" s="221"/>
      <c r="AT365" s="221"/>
      <c r="AU365" s="221"/>
      <c r="AV365" s="221"/>
      <c r="AW365" s="221"/>
    </row>
    <row r="366" spans="3:49" x14ac:dyDescent="0.25">
      <c r="C366" s="214"/>
      <c r="D366" s="36"/>
      <c r="E366" s="36"/>
      <c r="F366" s="214"/>
      <c r="G366" s="206"/>
      <c r="H366" s="206"/>
      <c r="I366" s="206"/>
      <c r="J366" s="221"/>
      <c r="K366" s="222"/>
      <c r="L366" s="221"/>
      <c r="M366" s="222"/>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c r="AS366" s="221"/>
      <c r="AT366" s="221"/>
      <c r="AU366" s="221"/>
      <c r="AV366" s="221"/>
      <c r="AW366" s="221"/>
    </row>
    <row r="367" spans="3:49" x14ac:dyDescent="0.25">
      <c r="C367" s="214"/>
      <c r="D367" s="36"/>
      <c r="E367" s="36"/>
      <c r="F367" s="36"/>
      <c r="G367" s="206"/>
      <c r="H367" s="206"/>
      <c r="I367" s="206"/>
      <c r="J367" s="221"/>
      <c r="K367" s="222"/>
      <c r="L367" s="221"/>
      <c r="M367" s="222"/>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1"/>
      <c r="AU367" s="221"/>
      <c r="AV367" s="221"/>
      <c r="AW367" s="221"/>
    </row>
    <row r="368" spans="3:49" x14ac:dyDescent="0.25">
      <c r="C368" s="214"/>
      <c r="D368" s="36"/>
      <c r="E368" s="36"/>
      <c r="F368" s="214"/>
      <c r="G368" s="206"/>
      <c r="H368" s="206"/>
      <c r="I368" s="206"/>
      <c r="J368" s="221"/>
      <c r="K368" s="222"/>
      <c r="L368" s="221"/>
      <c r="M368" s="222"/>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c r="AS368" s="221"/>
      <c r="AT368" s="221"/>
      <c r="AU368" s="221"/>
      <c r="AV368" s="221"/>
      <c r="AW368" s="221"/>
    </row>
    <row r="369" spans="3:49" x14ac:dyDescent="0.25">
      <c r="C369" s="214"/>
      <c r="D369" s="36"/>
      <c r="E369" s="36"/>
      <c r="F369" s="214"/>
      <c r="G369" s="206"/>
      <c r="H369" s="206"/>
      <c r="I369" s="206"/>
      <c r="J369" s="221"/>
      <c r="K369" s="222"/>
      <c r="L369" s="221"/>
      <c r="M369" s="222"/>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row>
    <row r="370" spans="3:49" x14ac:dyDescent="0.25">
      <c r="C370" s="214"/>
      <c r="D370" s="36"/>
      <c r="E370" s="36"/>
      <c r="F370" s="36"/>
      <c r="G370" s="206"/>
      <c r="H370" s="206"/>
      <c r="I370" s="206"/>
      <c r="J370" s="221"/>
      <c r="K370" s="222"/>
      <c r="L370" s="221"/>
      <c r="M370" s="222"/>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c r="AR370" s="221"/>
      <c r="AS370" s="221"/>
      <c r="AT370" s="221"/>
      <c r="AU370" s="221"/>
      <c r="AV370" s="221"/>
      <c r="AW370" s="221"/>
    </row>
    <row r="371" spans="3:49" x14ac:dyDescent="0.25">
      <c r="C371" s="214"/>
      <c r="D371" s="36"/>
      <c r="E371" s="36"/>
      <c r="F371" s="214"/>
      <c r="G371" s="206"/>
      <c r="H371" s="206"/>
      <c r="I371" s="206"/>
      <c r="J371" s="221"/>
      <c r="K371" s="222"/>
      <c r="L371" s="221"/>
      <c r="M371" s="222"/>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c r="AI371" s="221"/>
      <c r="AJ371" s="221"/>
      <c r="AK371" s="221"/>
      <c r="AL371" s="221"/>
      <c r="AM371" s="221"/>
      <c r="AN371" s="221"/>
      <c r="AO371" s="221"/>
      <c r="AP371" s="221"/>
      <c r="AQ371" s="221"/>
      <c r="AR371" s="221"/>
      <c r="AS371" s="221"/>
      <c r="AT371" s="221"/>
      <c r="AU371" s="221"/>
      <c r="AV371" s="221"/>
      <c r="AW371" s="221"/>
    </row>
    <row r="372" spans="3:49" x14ac:dyDescent="0.25">
      <c r="C372" s="214"/>
      <c r="D372" s="36"/>
      <c r="E372" s="36"/>
      <c r="F372" s="214"/>
      <c r="G372" s="206"/>
      <c r="H372" s="206"/>
      <c r="I372" s="206"/>
      <c r="J372" s="221"/>
      <c r="K372" s="222"/>
      <c r="L372" s="221"/>
      <c r="M372" s="222"/>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c r="AI372" s="221"/>
      <c r="AJ372" s="221"/>
      <c r="AK372" s="221"/>
      <c r="AL372" s="221"/>
      <c r="AM372" s="221"/>
      <c r="AN372" s="221"/>
      <c r="AO372" s="221"/>
      <c r="AP372" s="221"/>
      <c r="AQ372" s="221"/>
      <c r="AR372" s="221"/>
      <c r="AS372" s="221"/>
      <c r="AT372" s="221"/>
      <c r="AU372" s="221"/>
      <c r="AV372" s="221"/>
      <c r="AW372" s="221"/>
    </row>
    <row r="373" spans="3:49" x14ac:dyDescent="0.25">
      <c r="C373" s="214"/>
      <c r="D373" s="36"/>
      <c r="E373" s="36"/>
      <c r="F373" s="36"/>
      <c r="G373" s="206"/>
      <c r="H373" s="206"/>
      <c r="I373" s="206"/>
      <c r="J373" s="221"/>
      <c r="K373" s="222"/>
      <c r="L373" s="221"/>
      <c r="M373" s="222"/>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c r="AI373" s="221"/>
      <c r="AJ373" s="221"/>
      <c r="AK373" s="221"/>
      <c r="AL373" s="221"/>
      <c r="AM373" s="221"/>
      <c r="AN373" s="221"/>
      <c r="AO373" s="221"/>
      <c r="AP373" s="221"/>
      <c r="AQ373" s="221"/>
      <c r="AR373" s="221"/>
      <c r="AS373" s="221"/>
      <c r="AT373" s="221"/>
      <c r="AU373" s="221"/>
      <c r="AV373" s="221"/>
      <c r="AW373" s="221"/>
    </row>
    <row r="374" spans="3:49" x14ac:dyDescent="0.25">
      <c r="C374" s="214"/>
      <c r="D374" s="36"/>
      <c r="E374" s="36"/>
      <c r="F374" s="214"/>
      <c r="G374" s="206"/>
      <c r="H374" s="206"/>
      <c r="I374" s="206"/>
      <c r="J374" s="221"/>
      <c r="K374" s="222"/>
      <c r="L374" s="221"/>
      <c r="M374" s="222"/>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c r="AR374" s="221"/>
      <c r="AS374" s="221"/>
      <c r="AT374" s="221"/>
      <c r="AU374" s="221"/>
      <c r="AV374" s="221"/>
      <c r="AW374" s="221"/>
    </row>
    <row r="375" spans="3:49" x14ac:dyDescent="0.25">
      <c r="C375" s="214"/>
      <c r="D375" s="36"/>
      <c r="E375" s="36"/>
      <c r="F375" s="214"/>
      <c r="G375" s="206"/>
      <c r="H375" s="206"/>
      <c r="I375" s="206"/>
      <c r="J375" s="221"/>
      <c r="K375" s="222"/>
      <c r="L375" s="221"/>
      <c r="M375" s="222"/>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c r="AI375" s="221"/>
      <c r="AJ375" s="221"/>
      <c r="AK375" s="221"/>
      <c r="AL375" s="221"/>
      <c r="AM375" s="221"/>
      <c r="AN375" s="221"/>
      <c r="AO375" s="221"/>
      <c r="AP375" s="221"/>
      <c r="AQ375" s="221"/>
      <c r="AR375" s="221"/>
      <c r="AS375" s="221"/>
      <c r="AT375" s="221"/>
      <c r="AU375" s="221"/>
      <c r="AV375" s="221"/>
      <c r="AW375" s="221"/>
    </row>
    <row r="376" spans="3:49" x14ac:dyDescent="0.25">
      <c r="C376" s="214"/>
      <c r="D376" s="36"/>
      <c r="E376" s="36"/>
      <c r="F376" s="36"/>
      <c r="G376" s="206"/>
      <c r="H376" s="206"/>
      <c r="I376" s="206"/>
      <c r="J376" s="221"/>
      <c r="K376" s="222"/>
      <c r="L376" s="221"/>
      <c r="M376" s="222"/>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c r="AI376" s="221"/>
      <c r="AJ376" s="221"/>
      <c r="AK376" s="221"/>
      <c r="AL376" s="221"/>
      <c r="AM376" s="221"/>
      <c r="AN376" s="221"/>
      <c r="AO376" s="221"/>
      <c r="AP376" s="221"/>
      <c r="AQ376" s="221"/>
      <c r="AR376" s="221"/>
      <c r="AS376" s="221"/>
      <c r="AT376" s="221"/>
      <c r="AU376" s="221"/>
      <c r="AV376" s="221"/>
      <c r="AW376" s="221"/>
    </row>
    <row r="377" spans="3:49" x14ac:dyDescent="0.25">
      <c r="C377" s="214"/>
      <c r="D377" s="36"/>
      <c r="E377" s="36"/>
      <c r="F377" s="214"/>
      <c r="G377" s="206"/>
      <c r="H377" s="206"/>
      <c r="I377" s="206"/>
      <c r="J377" s="221"/>
      <c r="K377" s="222"/>
      <c r="L377" s="221"/>
      <c r="M377" s="222"/>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c r="AS377" s="221"/>
      <c r="AT377" s="221"/>
      <c r="AU377" s="221"/>
      <c r="AV377" s="221"/>
      <c r="AW377" s="221"/>
    </row>
    <row r="378" spans="3:49" x14ac:dyDescent="0.25">
      <c r="C378" s="214"/>
      <c r="D378" s="36"/>
      <c r="E378" s="36"/>
      <c r="F378" s="214"/>
      <c r="G378" s="206"/>
      <c r="H378" s="206"/>
      <c r="I378" s="206"/>
      <c r="J378" s="221"/>
      <c r="K378" s="222"/>
      <c r="L378" s="221"/>
      <c r="M378" s="222"/>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c r="AS378" s="221"/>
      <c r="AT378" s="221"/>
      <c r="AU378" s="221"/>
      <c r="AV378" s="221"/>
      <c r="AW378" s="221"/>
    </row>
    <row r="379" spans="3:49" x14ac:dyDescent="0.25">
      <c r="C379" s="214"/>
      <c r="D379" s="36"/>
      <c r="E379" s="36"/>
      <c r="F379" s="36"/>
      <c r="G379" s="206"/>
      <c r="H379" s="206"/>
      <c r="I379" s="206"/>
      <c r="J379" s="221"/>
      <c r="K379" s="222"/>
      <c r="L379" s="221"/>
      <c r="M379" s="222"/>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c r="AI379" s="221"/>
      <c r="AJ379" s="221"/>
      <c r="AK379" s="221"/>
      <c r="AL379" s="221"/>
      <c r="AM379" s="221"/>
      <c r="AN379" s="221"/>
      <c r="AO379" s="221"/>
      <c r="AP379" s="221"/>
      <c r="AQ379" s="221"/>
      <c r="AR379" s="221"/>
      <c r="AS379" s="221"/>
      <c r="AT379" s="221"/>
      <c r="AU379" s="221"/>
      <c r="AV379" s="221"/>
      <c r="AW379" s="221"/>
    </row>
    <row r="380" spans="3:49" x14ac:dyDescent="0.25">
      <c r="C380" s="214"/>
      <c r="D380" s="36"/>
      <c r="E380" s="36"/>
      <c r="F380" s="214"/>
      <c r="G380" s="206"/>
      <c r="H380" s="206"/>
      <c r="I380" s="206"/>
      <c r="J380" s="221"/>
      <c r="K380" s="222"/>
      <c r="L380" s="221"/>
      <c r="M380" s="222"/>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c r="AI380" s="221"/>
      <c r="AJ380" s="221"/>
      <c r="AK380" s="221"/>
      <c r="AL380" s="221"/>
      <c r="AM380" s="221"/>
      <c r="AN380" s="221"/>
      <c r="AO380" s="221"/>
      <c r="AP380" s="221"/>
      <c r="AQ380" s="221"/>
      <c r="AR380" s="221"/>
      <c r="AS380" s="221"/>
      <c r="AT380" s="221"/>
      <c r="AU380" s="221"/>
      <c r="AV380" s="221"/>
      <c r="AW380" s="221"/>
    </row>
    <row r="381" spans="3:49" x14ac:dyDescent="0.25">
      <c r="C381" s="214"/>
      <c r="D381" s="36"/>
      <c r="E381" s="36"/>
      <c r="F381" s="214"/>
      <c r="G381" s="206"/>
      <c r="H381" s="206"/>
      <c r="I381" s="206"/>
      <c r="J381" s="221"/>
      <c r="K381" s="222"/>
      <c r="L381" s="221"/>
      <c r="M381" s="222"/>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c r="AS381" s="221"/>
      <c r="AT381" s="221"/>
      <c r="AU381" s="221"/>
      <c r="AV381" s="221"/>
      <c r="AW381" s="221"/>
    </row>
    <row r="382" spans="3:49" x14ac:dyDescent="0.25">
      <c r="C382" s="214"/>
      <c r="D382" s="36"/>
      <c r="E382" s="36"/>
      <c r="F382" s="36"/>
      <c r="G382" s="206"/>
      <c r="H382" s="206"/>
      <c r="I382" s="206"/>
      <c r="J382" s="221"/>
      <c r="K382" s="222"/>
      <c r="L382" s="221"/>
      <c r="M382" s="222"/>
      <c r="N382" s="221"/>
      <c r="O382" s="221"/>
      <c r="P382" s="221"/>
      <c r="Q382" s="221"/>
      <c r="R382" s="221"/>
      <c r="S382" s="221"/>
      <c r="T382" s="221"/>
      <c r="U382" s="221"/>
      <c r="V382" s="221"/>
      <c r="W382" s="221"/>
      <c r="X382" s="221"/>
      <c r="Y382" s="221"/>
      <c r="Z382" s="221"/>
      <c r="AA382" s="221"/>
      <c r="AB382" s="221"/>
      <c r="AC382" s="221"/>
      <c r="AD382" s="221"/>
      <c r="AE382" s="221"/>
      <c r="AF382" s="221"/>
      <c r="AG382" s="221"/>
      <c r="AH382" s="221"/>
      <c r="AI382" s="221"/>
      <c r="AJ382" s="221"/>
      <c r="AK382" s="221"/>
      <c r="AL382" s="221"/>
      <c r="AM382" s="221"/>
      <c r="AN382" s="221"/>
      <c r="AO382" s="221"/>
      <c r="AP382" s="221"/>
      <c r="AQ382" s="221"/>
      <c r="AR382" s="221"/>
      <c r="AS382" s="221"/>
      <c r="AT382" s="221"/>
      <c r="AU382" s="221"/>
      <c r="AV382" s="221"/>
      <c r="AW382" s="221"/>
    </row>
    <row r="383" spans="3:49" x14ac:dyDescent="0.25">
      <c r="C383" s="214"/>
      <c r="D383" s="36"/>
      <c r="E383" s="36"/>
      <c r="F383" s="214"/>
      <c r="G383" s="206"/>
      <c r="H383" s="206"/>
      <c r="I383" s="206"/>
      <c r="J383" s="221"/>
      <c r="K383" s="222"/>
      <c r="L383" s="221"/>
      <c r="M383" s="222"/>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c r="AI383" s="221"/>
      <c r="AJ383" s="221"/>
      <c r="AK383" s="221"/>
      <c r="AL383" s="221"/>
      <c r="AM383" s="221"/>
      <c r="AN383" s="221"/>
      <c r="AO383" s="221"/>
      <c r="AP383" s="221"/>
      <c r="AQ383" s="221"/>
      <c r="AR383" s="221"/>
      <c r="AS383" s="221"/>
      <c r="AT383" s="221"/>
      <c r="AU383" s="221"/>
      <c r="AV383" s="221"/>
      <c r="AW383" s="221"/>
    </row>
    <row r="384" spans="3:49" x14ac:dyDescent="0.25">
      <c r="C384" s="214"/>
      <c r="D384" s="36"/>
      <c r="E384" s="36"/>
      <c r="F384" s="214"/>
      <c r="G384" s="206"/>
      <c r="H384" s="206"/>
      <c r="I384" s="206"/>
      <c r="J384" s="221"/>
      <c r="K384" s="222"/>
      <c r="L384" s="221"/>
      <c r="M384" s="222"/>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221"/>
      <c r="AJ384" s="221"/>
      <c r="AK384" s="221"/>
      <c r="AL384" s="221"/>
      <c r="AM384" s="221"/>
      <c r="AN384" s="221"/>
      <c r="AO384" s="221"/>
      <c r="AP384" s="221"/>
      <c r="AQ384" s="221"/>
      <c r="AR384" s="221"/>
      <c r="AS384" s="221"/>
      <c r="AT384" s="221"/>
      <c r="AU384" s="221"/>
      <c r="AV384" s="221"/>
      <c r="AW384" s="221"/>
    </row>
    <row r="385" spans="3:49" x14ac:dyDescent="0.25">
      <c r="C385" s="214"/>
      <c r="D385" s="36"/>
      <c r="E385" s="36"/>
      <c r="F385" s="36"/>
      <c r="G385" s="206"/>
      <c r="H385" s="206"/>
      <c r="I385" s="206"/>
      <c r="J385" s="221"/>
      <c r="K385" s="222"/>
      <c r="L385" s="221"/>
      <c r="M385" s="222"/>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c r="AI385" s="221"/>
      <c r="AJ385" s="221"/>
      <c r="AK385" s="221"/>
      <c r="AL385" s="221"/>
      <c r="AM385" s="221"/>
      <c r="AN385" s="221"/>
      <c r="AO385" s="221"/>
      <c r="AP385" s="221"/>
      <c r="AQ385" s="221"/>
      <c r="AR385" s="221"/>
      <c r="AS385" s="221"/>
      <c r="AT385" s="221"/>
      <c r="AU385" s="221"/>
      <c r="AV385" s="221"/>
      <c r="AW385" s="221"/>
    </row>
    <row r="386" spans="3:49" x14ac:dyDescent="0.25">
      <c r="C386" s="214"/>
      <c r="D386" s="36"/>
      <c r="E386" s="36"/>
      <c r="F386" s="214"/>
      <c r="G386" s="206"/>
      <c r="H386" s="206"/>
      <c r="I386" s="206"/>
      <c r="J386" s="221"/>
      <c r="K386" s="222"/>
      <c r="L386" s="221"/>
      <c r="M386" s="222"/>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c r="AI386" s="221"/>
      <c r="AJ386" s="221"/>
      <c r="AK386" s="221"/>
      <c r="AL386" s="221"/>
      <c r="AM386" s="221"/>
      <c r="AN386" s="221"/>
      <c r="AO386" s="221"/>
      <c r="AP386" s="221"/>
      <c r="AQ386" s="221"/>
      <c r="AR386" s="221"/>
      <c r="AS386" s="221"/>
      <c r="AT386" s="221"/>
      <c r="AU386" s="221"/>
      <c r="AV386" s="221"/>
      <c r="AW386" s="221"/>
    </row>
    <row r="387" spans="3:49" x14ac:dyDescent="0.25">
      <c r="C387" s="214"/>
      <c r="D387" s="36"/>
      <c r="E387" s="36"/>
      <c r="F387" s="214"/>
      <c r="G387" s="206"/>
      <c r="H387" s="206"/>
      <c r="I387" s="206"/>
      <c r="J387" s="221"/>
      <c r="K387" s="222"/>
      <c r="L387" s="221"/>
      <c r="M387" s="222"/>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c r="AI387" s="221"/>
      <c r="AJ387" s="221"/>
      <c r="AK387" s="221"/>
      <c r="AL387" s="221"/>
      <c r="AM387" s="221"/>
      <c r="AN387" s="221"/>
      <c r="AO387" s="221"/>
      <c r="AP387" s="221"/>
      <c r="AQ387" s="221"/>
      <c r="AR387" s="221"/>
      <c r="AS387" s="221"/>
      <c r="AT387" s="221"/>
      <c r="AU387" s="221"/>
      <c r="AV387" s="221"/>
      <c r="AW387" s="221"/>
    </row>
    <row r="388" spans="3:49" x14ac:dyDescent="0.25">
      <c r="C388" s="214"/>
      <c r="D388" s="36"/>
      <c r="E388" s="36"/>
      <c r="F388" s="36"/>
      <c r="G388" s="206"/>
      <c r="H388" s="206"/>
      <c r="I388" s="206"/>
      <c r="J388" s="221"/>
      <c r="K388" s="222"/>
      <c r="L388" s="221"/>
      <c r="M388" s="222"/>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c r="AI388" s="221"/>
      <c r="AJ388" s="221"/>
      <c r="AK388" s="221"/>
      <c r="AL388" s="221"/>
      <c r="AM388" s="221"/>
      <c r="AN388" s="221"/>
      <c r="AO388" s="221"/>
      <c r="AP388" s="221"/>
      <c r="AQ388" s="221"/>
      <c r="AR388" s="221"/>
      <c r="AS388" s="221"/>
      <c r="AT388" s="221"/>
      <c r="AU388" s="221"/>
      <c r="AV388" s="221"/>
      <c r="AW388" s="221"/>
    </row>
    <row r="389" spans="3:49" x14ac:dyDescent="0.25">
      <c r="C389" s="214"/>
      <c r="D389" s="36"/>
      <c r="E389" s="36"/>
      <c r="F389" s="214"/>
      <c r="G389" s="206"/>
      <c r="H389" s="206"/>
      <c r="I389" s="206"/>
      <c r="J389" s="221"/>
      <c r="K389" s="222"/>
      <c r="L389" s="221"/>
      <c r="M389" s="222"/>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c r="AI389" s="221"/>
      <c r="AJ389" s="221"/>
      <c r="AK389" s="221"/>
      <c r="AL389" s="221"/>
      <c r="AM389" s="221"/>
      <c r="AN389" s="221"/>
      <c r="AO389" s="221"/>
      <c r="AP389" s="221"/>
      <c r="AQ389" s="221"/>
      <c r="AR389" s="221"/>
      <c r="AS389" s="221"/>
      <c r="AT389" s="221"/>
      <c r="AU389" s="221"/>
      <c r="AV389" s="221"/>
      <c r="AW389" s="221"/>
    </row>
    <row r="390" spans="3:49" x14ac:dyDescent="0.25">
      <c r="C390" s="214"/>
      <c r="D390" s="36"/>
      <c r="E390" s="36"/>
      <c r="F390" s="214"/>
      <c r="G390" s="206"/>
      <c r="H390" s="206"/>
      <c r="I390" s="206"/>
      <c r="J390" s="221"/>
      <c r="K390" s="222"/>
      <c r="L390" s="221"/>
      <c r="M390" s="222"/>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c r="AI390" s="221"/>
      <c r="AJ390" s="221"/>
      <c r="AK390" s="221"/>
      <c r="AL390" s="221"/>
      <c r="AM390" s="221"/>
      <c r="AN390" s="221"/>
      <c r="AO390" s="221"/>
      <c r="AP390" s="221"/>
      <c r="AQ390" s="221"/>
      <c r="AR390" s="221"/>
      <c r="AS390" s="221"/>
      <c r="AT390" s="221"/>
      <c r="AU390" s="221"/>
      <c r="AV390" s="221"/>
      <c r="AW390" s="221"/>
    </row>
    <row r="391" spans="3:49" x14ac:dyDescent="0.25">
      <c r="C391" s="214"/>
      <c r="D391" s="36"/>
      <c r="E391" s="36"/>
      <c r="F391" s="36"/>
      <c r="G391" s="206"/>
      <c r="H391" s="206"/>
      <c r="I391" s="206"/>
      <c r="J391" s="221"/>
      <c r="K391" s="222"/>
      <c r="L391" s="221"/>
      <c r="M391" s="222"/>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c r="AI391" s="221"/>
      <c r="AJ391" s="221"/>
      <c r="AK391" s="221"/>
      <c r="AL391" s="221"/>
      <c r="AM391" s="221"/>
      <c r="AN391" s="221"/>
      <c r="AO391" s="221"/>
      <c r="AP391" s="221"/>
      <c r="AQ391" s="221"/>
      <c r="AR391" s="221"/>
      <c r="AS391" s="221"/>
      <c r="AT391" s="221"/>
      <c r="AU391" s="221"/>
      <c r="AV391" s="221"/>
      <c r="AW391" s="221"/>
    </row>
    <row r="392" spans="3:49" x14ac:dyDescent="0.25">
      <c r="C392" s="214"/>
      <c r="D392" s="36"/>
      <c r="E392" s="36"/>
      <c r="F392" s="214"/>
      <c r="G392" s="206"/>
      <c r="H392" s="206"/>
      <c r="I392" s="206"/>
      <c r="J392" s="221"/>
      <c r="K392" s="222"/>
      <c r="L392" s="221"/>
      <c r="M392" s="222"/>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221"/>
      <c r="AJ392" s="221"/>
      <c r="AK392" s="221"/>
      <c r="AL392" s="221"/>
      <c r="AM392" s="221"/>
      <c r="AN392" s="221"/>
      <c r="AO392" s="221"/>
      <c r="AP392" s="221"/>
      <c r="AQ392" s="221"/>
      <c r="AR392" s="221"/>
      <c r="AS392" s="221"/>
      <c r="AT392" s="221"/>
      <c r="AU392" s="221"/>
      <c r="AV392" s="221"/>
      <c r="AW392" s="221"/>
    </row>
    <row r="393" spans="3:49" x14ac:dyDescent="0.25">
      <c r="C393" s="214"/>
      <c r="D393" s="36"/>
      <c r="E393" s="36"/>
      <c r="F393" s="214"/>
      <c r="G393" s="206"/>
      <c r="H393" s="206"/>
      <c r="I393" s="206"/>
      <c r="J393" s="221"/>
      <c r="K393" s="222"/>
      <c r="L393" s="221"/>
      <c r="M393" s="222"/>
      <c r="N393" s="221"/>
      <c r="O393" s="221"/>
      <c r="P393" s="221"/>
      <c r="Q393" s="221"/>
      <c r="R393" s="221"/>
      <c r="S393" s="221"/>
      <c r="T393" s="221"/>
      <c r="U393" s="221"/>
      <c r="V393" s="221"/>
      <c r="W393" s="221"/>
      <c r="X393" s="221"/>
      <c r="Y393" s="221"/>
      <c r="Z393" s="221"/>
      <c r="AA393" s="221"/>
      <c r="AB393" s="221"/>
      <c r="AC393" s="221"/>
      <c r="AD393" s="221"/>
      <c r="AE393" s="221"/>
      <c r="AF393" s="221"/>
      <c r="AG393" s="221"/>
      <c r="AH393" s="221"/>
      <c r="AI393" s="221"/>
      <c r="AJ393" s="221"/>
      <c r="AK393" s="221"/>
      <c r="AL393" s="221"/>
      <c r="AM393" s="221"/>
      <c r="AN393" s="221"/>
      <c r="AO393" s="221"/>
      <c r="AP393" s="221"/>
      <c r="AQ393" s="221"/>
      <c r="AR393" s="221"/>
      <c r="AS393" s="221"/>
      <c r="AT393" s="221"/>
      <c r="AU393" s="221"/>
      <c r="AV393" s="221"/>
      <c r="AW393" s="221"/>
    </row>
    <row r="394" spans="3:49" x14ac:dyDescent="0.25">
      <c r="C394" s="214"/>
      <c r="D394" s="36"/>
      <c r="E394" s="36"/>
      <c r="F394" s="36"/>
      <c r="G394" s="206"/>
      <c r="H394" s="206"/>
      <c r="I394" s="206"/>
      <c r="J394" s="221"/>
      <c r="K394" s="222"/>
      <c r="L394" s="221"/>
      <c r="M394" s="222"/>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c r="AI394" s="221"/>
      <c r="AJ394" s="221"/>
      <c r="AK394" s="221"/>
      <c r="AL394" s="221"/>
      <c r="AM394" s="221"/>
      <c r="AN394" s="221"/>
      <c r="AO394" s="221"/>
      <c r="AP394" s="221"/>
      <c r="AQ394" s="221"/>
      <c r="AR394" s="221"/>
      <c r="AS394" s="221"/>
      <c r="AT394" s="221"/>
      <c r="AU394" s="221"/>
      <c r="AV394" s="221"/>
      <c r="AW394" s="221"/>
    </row>
    <row r="395" spans="3:49" x14ac:dyDescent="0.25">
      <c r="C395" s="214"/>
      <c r="D395" s="36"/>
      <c r="E395" s="36"/>
      <c r="F395" s="214"/>
      <c r="G395" s="206"/>
      <c r="H395" s="206"/>
      <c r="I395" s="206"/>
      <c r="J395" s="221"/>
      <c r="K395" s="222"/>
      <c r="L395" s="221"/>
      <c r="M395" s="222"/>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c r="AI395" s="221"/>
      <c r="AJ395" s="221"/>
      <c r="AK395" s="221"/>
      <c r="AL395" s="221"/>
      <c r="AM395" s="221"/>
      <c r="AN395" s="221"/>
      <c r="AO395" s="221"/>
      <c r="AP395" s="221"/>
      <c r="AQ395" s="221"/>
      <c r="AR395" s="221"/>
      <c r="AS395" s="221"/>
      <c r="AT395" s="221"/>
      <c r="AU395" s="221"/>
      <c r="AV395" s="221"/>
      <c r="AW395" s="221"/>
    </row>
    <row r="396" spans="3:49" x14ac:dyDescent="0.25">
      <c r="C396" s="214"/>
      <c r="D396" s="36"/>
      <c r="E396" s="36"/>
      <c r="F396" s="214"/>
      <c r="G396" s="206"/>
      <c r="H396" s="206"/>
      <c r="I396" s="206"/>
      <c r="J396" s="221"/>
      <c r="K396" s="222"/>
      <c r="L396" s="221"/>
      <c r="M396" s="222"/>
      <c r="N396" s="221"/>
      <c r="O396" s="221"/>
      <c r="P396" s="221"/>
      <c r="Q396" s="221"/>
      <c r="R396" s="221"/>
      <c r="S396" s="221"/>
      <c r="T396" s="221"/>
      <c r="U396" s="221"/>
      <c r="V396" s="221"/>
      <c r="W396" s="221"/>
      <c r="X396" s="221"/>
      <c r="Y396" s="221"/>
      <c r="Z396" s="221"/>
      <c r="AA396" s="221"/>
      <c r="AB396" s="221"/>
      <c r="AC396" s="221"/>
      <c r="AD396" s="221"/>
      <c r="AE396" s="221"/>
      <c r="AF396" s="221"/>
      <c r="AG396" s="221"/>
      <c r="AH396" s="221"/>
      <c r="AI396" s="221"/>
      <c r="AJ396" s="221"/>
      <c r="AK396" s="221"/>
      <c r="AL396" s="221"/>
      <c r="AM396" s="221"/>
      <c r="AN396" s="221"/>
      <c r="AO396" s="221"/>
      <c r="AP396" s="221"/>
      <c r="AQ396" s="221"/>
      <c r="AR396" s="221"/>
      <c r="AS396" s="221"/>
      <c r="AT396" s="221"/>
      <c r="AU396" s="221"/>
      <c r="AV396" s="221"/>
      <c r="AW396" s="221"/>
    </row>
    <row r="397" spans="3:49" x14ac:dyDescent="0.25">
      <c r="C397" s="214"/>
      <c r="D397" s="36"/>
      <c r="E397" s="36"/>
      <c r="F397" s="36"/>
      <c r="G397" s="206"/>
      <c r="H397" s="206"/>
      <c r="I397" s="206"/>
      <c r="J397" s="221"/>
      <c r="K397" s="222"/>
      <c r="L397" s="221"/>
      <c r="M397" s="222"/>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1"/>
      <c r="AN397" s="221"/>
      <c r="AO397" s="221"/>
      <c r="AP397" s="221"/>
      <c r="AQ397" s="221"/>
      <c r="AR397" s="221"/>
      <c r="AS397" s="221"/>
      <c r="AT397" s="221"/>
      <c r="AU397" s="221"/>
      <c r="AV397" s="221"/>
      <c r="AW397" s="221"/>
    </row>
    <row r="398" spans="3:49" x14ac:dyDescent="0.25">
      <c r="C398" s="214"/>
      <c r="D398" s="36"/>
      <c r="E398" s="36"/>
      <c r="F398" s="214"/>
      <c r="G398" s="206"/>
      <c r="H398" s="206"/>
      <c r="I398" s="206"/>
      <c r="J398" s="221"/>
      <c r="K398" s="222"/>
      <c r="L398" s="221"/>
      <c r="M398" s="222"/>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c r="AI398" s="221"/>
      <c r="AJ398" s="221"/>
      <c r="AK398" s="221"/>
      <c r="AL398" s="221"/>
      <c r="AM398" s="221"/>
      <c r="AN398" s="221"/>
      <c r="AO398" s="221"/>
      <c r="AP398" s="221"/>
      <c r="AQ398" s="221"/>
      <c r="AR398" s="221"/>
      <c r="AS398" s="221"/>
      <c r="AT398" s="221"/>
      <c r="AU398" s="221"/>
      <c r="AV398" s="221"/>
      <c r="AW398" s="221"/>
    </row>
    <row r="399" spans="3:49" x14ac:dyDescent="0.25">
      <c r="C399" s="214"/>
      <c r="D399" s="36"/>
      <c r="E399" s="36"/>
      <c r="F399" s="214"/>
      <c r="G399" s="206"/>
      <c r="H399" s="206"/>
      <c r="I399" s="206"/>
      <c r="J399" s="221"/>
      <c r="K399" s="222"/>
      <c r="L399" s="221"/>
      <c r="M399" s="222"/>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c r="AI399" s="221"/>
      <c r="AJ399" s="221"/>
      <c r="AK399" s="221"/>
      <c r="AL399" s="221"/>
      <c r="AM399" s="221"/>
      <c r="AN399" s="221"/>
      <c r="AO399" s="221"/>
      <c r="AP399" s="221"/>
      <c r="AQ399" s="221"/>
      <c r="AR399" s="221"/>
      <c r="AS399" s="221"/>
      <c r="AT399" s="221"/>
      <c r="AU399" s="221"/>
      <c r="AV399" s="221"/>
      <c r="AW399" s="221"/>
    </row>
    <row r="400" spans="3:49" x14ac:dyDescent="0.25">
      <c r="C400" s="214"/>
      <c r="D400" s="36"/>
      <c r="E400" s="36"/>
      <c r="F400" s="36"/>
      <c r="G400" s="206"/>
      <c r="H400" s="206"/>
      <c r="I400" s="206"/>
      <c r="J400" s="221"/>
      <c r="K400" s="222"/>
      <c r="L400" s="221"/>
      <c r="M400" s="222"/>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c r="AI400" s="221"/>
      <c r="AJ400" s="221"/>
      <c r="AK400" s="221"/>
      <c r="AL400" s="221"/>
      <c r="AM400" s="221"/>
      <c r="AN400" s="221"/>
      <c r="AO400" s="221"/>
      <c r="AP400" s="221"/>
      <c r="AQ400" s="221"/>
      <c r="AR400" s="221"/>
      <c r="AS400" s="221"/>
      <c r="AT400" s="221"/>
      <c r="AU400" s="221"/>
      <c r="AV400" s="221"/>
      <c r="AW400" s="221"/>
    </row>
    <row r="401" spans="3:49" x14ac:dyDescent="0.25">
      <c r="C401" s="214"/>
      <c r="D401" s="36"/>
      <c r="E401" s="36"/>
      <c r="F401" s="214"/>
      <c r="G401" s="206"/>
      <c r="H401" s="206"/>
      <c r="I401" s="206"/>
      <c r="J401" s="221"/>
      <c r="K401" s="222"/>
      <c r="L401" s="221"/>
      <c r="M401" s="222"/>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c r="AR401" s="221"/>
      <c r="AS401" s="221"/>
      <c r="AT401" s="221"/>
      <c r="AU401" s="221"/>
      <c r="AV401" s="221"/>
      <c r="AW401" s="221"/>
    </row>
    <row r="402" spans="3:49" x14ac:dyDescent="0.25">
      <c r="C402" s="214"/>
      <c r="D402" s="36"/>
      <c r="E402" s="36"/>
      <c r="F402" s="214"/>
      <c r="G402" s="206"/>
      <c r="H402" s="206"/>
      <c r="I402" s="206"/>
      <c r="J402" s="221"/>
      <c r="K402" s="222"/>
      <c r="L402" s="221"/>
      <c r="M402" s="222"/>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21"/>
      <c r="AQ402" s="221"/>
      <c r="AR402" s="221"/>
      <c r="AS402" s="221"/>
      <c r="AT402" s="221"/>
      <c r="AU402" s="221"/>
      <c r="AV402" s="221"/>
      <c r="AW402" s="221"/>
    </row>
    <row r="403" spans="3:49" x14ac:dyDescent="0.25">
      <c r="C403" s="214"/>
      <c r="D403" s="36"/>
      <c r="E403" s="36"/>
      <c r="F403" s="36"/>
      <c r="G403" s="206"/>
      <c r="H403" s="206"/>
      <c r="I403" s="206"/>
      <c r="J403" s="221"/>
      <c r="K403" s="222"/>
      <c r="L403" s="221"/>
      <c r="M403" s="222"/>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c r="AR403" s="221"/>
      <c r="AS403" s="221"/>
      <c r="AT403" s="221"/>
      <c r="AU403" s="221"/>
      <c r="AV403" s="221"/>
      <c r="AW403" s="221"/>
    </row>
    <row r="404" spans="3:49" x14ac:dyDescent="0.25">
      <c r="C404" s="214"/>
      <c r="D404" s="36"/>
      <c r="E404" s="36"/>
      <c r="F404" s="214"/>
      <c r="G404" s="206"/>
      <c r="H404" s="206"/>
      <c r="I404" s="206"/>
      <c r="J404" s="221"/>
      <c r="K404" s="222"/>
      <c r="L404" s="221"/>
      <c r="M404" s="222"/>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21"/>
      <c r="AQ404" s="221"/>
      <c r="AR404" s="221"/>
      <c r="AS404" s="221"/>
      <c r="AT404" s="221"/>
      <c r="AU404" s="221"/>
      <c r="AV404" s="221"/>
      <c r="AW404" s="221"/>
    </row>
    <row r="405" spans="3:49" x14ac:dyDescent="0.25">
      <c r="C405" s="214"/>
      <c r="D405" s="36"/>
      <c r="E405" s="36"/>
      <c r="F405" s="214"/>
      <c r="G405" s="206"/>
      <c r="H405" s="206"/>
      <c r="I405" s="206"/>
      <c r="J405" s="221"/>
      <c r="K405" s="222"/>
      <c r="L405" s="221"/>
      <c r="M405" s="222"/>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221"/>
      <c r="AJ405" s="221"/>
      <c r="AK405" s="221"/>
      <c r="AL405" s="221"/>
      <c r="AM405" s="221"/>
      <c r="AN405" s="221"/>
      <c r="AO405" s="221"/>
      <c r="AP405" s="221"/>
      <c r="AQ405" s="221"/>
      <c r="AR405" s="221"/>
      <c r="AS405" s="221"/>
      <c r="AT405" s="221"/>
      <c r="AU405" s="221"/>
      <c r="AV405" s="221"/>
      <c r="AW405" s="221"/>
    </row>
    <row r="406" spans="3:49" x14ac:dyDescent="0.25">
      <c r="C406" s="214"/>
      <c r="D406" s="36"/>
      <c r="E406" s="36"/>
      <c r="F406" s="36"/>
      <c r="G406" s="206"/>
      <c r="H406" s="206"/>
      <c r="I406" s="206"/>
      <c r="J406" s="221"/>
      <c r="K406" s="222"/>
      <c r="L406" s="221"/>
      <c r="M406" s="222"/>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1"/>
      <c r="AN406" s="221"/>
      <c r="AO406" s="221"/>
      <c r="AP406" s="221"/>
      <c r="AQ406" s="221"/>
      <c r="AR406" s="221"/>
      <c r="AS406" s="221"/>
      <c r="AT406" s="221"/>
      <c r="AU406" s="221"/>
      <c r="AV406" s="221"/>
      <c r="AW406" s="221"/>
    </row>
    <row r="407" spans="3:49" x14ac:dyDescent="0.25">
      <c r="C407" s="214"/>
      <c r="D407" s="36"/>
      <c r="E407" s="36"/>
      <c r="F407" s="214"/>
      <c r="G407" s="206"/>
      <c r="H407" s="206"/>
      <c r="I407" s="206"/>
      <c r="J407" s="221"/>
      <c r="K407" s="222"/>
      <c r="L407" s="221"/>
      <c r="M407" s="222"/>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c r="AI407" s="221"/>
      <c r="AJ407" s="221"/>
      <c r="AK407" s="221"/>
      <c r="AL407" s="221"/>
      <c r="AM407" s="221"/>
      <c r="AN407" s="221"/>
      <c r="AO407" s="221"/>
      <c r="AP407" s="221"/>
      <c r="AQ407" s="221"/>
      <c r="AR407" s="221"/>
      <c r="AS407" s="221"/>
      <c r="AT407" s="221"/>
      <c r="AU407" s="221"/>
      <c r="AV407" s="221"/>
      <c r="AW407" s="221"/>
    </row>
    <row r="408" spans="3:49" x14ac:dyDescent="0.25">
      <c r="C408" s="214"/>
      <c r="D408" s="36"/>
      <c r="E408" s="36"/>
      <c r="F408" s="214"/>
      <c r="G408" s="206"/>
      <c r="H408" s="206"/>
      <c r="I408" s="206"/>
      <c r="J408" s="221"/>
      <c r="K408" s="222"/>
      <c r="L408" s="221"/>
      <c r="M408" s="222"/>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c r="AI408" s="221"/>
      <c r="AJ408" s="221"/>
      <c r="AK408" s="221"/>
      <c r="AL408" s="221"/>
      <c r="AM408" s="221"/>
      <c r="AN408" s="221"/>
      <c r="AO408" s="221"/>
      <c r="AP408" s="221"/>
      <c r="AQ408" s="221"/>
      <c r="AR408" s="221"/>
      <c r="AS408" s="221"/>
      <c r="AT408" s="221"/>
      <c r="AU408" s="221"/>
      <c r="AV408" s="221"/>
      <c r="AW408" s="221"/>
    </row>
    <row r="409" spans="3:49" x14ac:dyDescent="0.25">
      <c r="C409" s="214"/>
      <c r="D409" s="36"/>
      <c r="E409" s="36"/>
      <c r="F409" s="36"/>
      <c r="G409" s="206"/>
      <c r="H409" s="206"/>
      <c r="I409" s="206"/>
      <c r="J409" s="221"/>
      <c r="K409" s="222"/>
      <c r="L409" s="221"/>
      <c r="M409" s="222"/>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c r="AI409" s="221"/>
      <c r="AJ409" s="221"/>
      <c r="AK409" s="221"/>
      <c r="AL409" s="221"/>
      <c r="AM409" s="221"/>
      <c r="AN409" s="221"/>
      <c r="AO409" s="221"/>
      <c r="AP409" s="221"/>
      <c r="AQ409" s="221"/>
      <c r="AR409" s="221"/>
      <c r="AS409" s="221"/>
      <c r="AT409" s="221"/>
      <c r="AU409" s="221"/>
      <c r="AV409" s="221"/>
      <c r="AW409" s="221"/>
    </row>
    <row r="410" spans="3:49" x14ac:dyDescent="0.25">
      <c r="C410" s="214"/>
      <c r="D410" s="36"/>
      <c r="E410" s="36"/>
      <c r="F410" s="214"/>
      <c r="G410" s="206"/>
      <c r="H410" s="206"/>
      <c r="I410" s="206"/>
      <c r="J410" s="221"/>
      <c r="K410" s="222"/>
      <c r="L410" s="221"/>
      <c r="M410" s="222"/>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c r="AI410" s="221"/>
      <c r="AJ410" s="221"/>
      <c r="AK410" s="221"/>
      <c r="AL410" s="221"/>
      <c r="AM410" s="221"/>
      <c r="AN410" s="221"/>
      <c r="AO410" s="221"/>
      <c r="AP410" s="221"/>
      <c r="AQ410" s="221"/>
      <c r="AR410" s="221"/>
      <c r="AS410" s="221"/>
      <c r="AT410" s="221"/>
      <c r="AU410" s="221"/>
      <c r="AV410" s="221"/>
      <c r="AW410" s="221"/>
    </row>
    <row r="411" spans="3:49" x14ac:dyDescent="0.25">
      <c r="C411" s="214"/>
      <c r="D411" s="36"/>
      <c r="E411" s="36"/>
      <c r="F411" s="214"/>
      <c r="G411" s="206"/>
      <c r="H411" s="206"/>
      <c r="I411" s="206"/>
      <c r="J411" s="221"/>
      <c r="K411" s="222"/>
      <c r="L411" s="221"/>
      <c r="M411" s="222"/>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c r="AI411" s="221"/>
      <c r="AJ411" s="221"/>
      <c r="AK411" s="221"/>
      <c r="AL411" s="221"/>
      <c r="AM411" s="221"/>
      <c r="AN411" s="221"/>
      <c r="AO411" s="221"/>
      <c r="AP411" s="221"/>
      <c r="AQ411" s="221"/>
      <c r="AR411" s="221"/>
      <c r="AS411" s="221"/>
      <c r="AT411" s="221"/>
      <c r="AU411" s="221"/>
      <c r="AV411" s="221"/>
      <c r="AW411" s="221"/>
    </row>
    <row r="412" spans="3:49" x14ac:dyDescent="0.25">
      <c r="C412" s="214"/>
      <c r="D412" s="36"/>
      <c r="E412" s="36"/>
      <c r="F412" s="36"/>
      <c r="G412" s="206"/>
      <c r="H412" s="206"/>
      <c r="I412" s="206"/>
      <c r="J412" s="221"/>
      <c r="K412" s="222"/>
      <c r="L412" s="221"/>
      <c r="M412" s="222"/>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c r="AI412" s="221"/>
      <c r="AJ412" s="221"/>
      <c r="AK412" s="221"/>
      <c r="AL412" s="221"/>
      <c r="AM412" s="221"/>
      <c r="AN412" s="221"/>
      <c r="AO412" s="221"/>
      <c r="AP412" s="221"/>
      <c r="AQ412" s="221"/>
      <c r="AR412" s="221"/>
      <c r="AS412" s="221"/>
      <c r="AT412" s="221"/>
      <c r="AU412" s="221"/>
      <c r="AV412" s="221"/>
      <c r="AW412" s="221"/>
    </row>
    <row r="413" spans="3:49" x14ac:dyDescent="0.25">
      <c r="C413" s="214"/>
      <c r="D413" s="36"/>
      <c r="E413" s="36"/>
      <c r="F413" s="214"/>
      <c r="G413" s="206"/>
      <c r="H413" s="206"/>
      <c r="I413" s="206"/>
      <c r="J413" s="221"/>
      <c r="K413" s="222"/>
      <c r="L413" s="221"/>
      <c r="M413" s="222"/>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c r="AI413" s="221"/>
      <c r="AJ413" s="221"/>
      <c r="AK413" s="221"/>
      <c r="AL413" s="221"/>
      <c r="AM413" s="221"/>
      <c r="AN413" s="221"/>
      <c r="AO413" s="221"/>
      <c r="AP413" s="221"/>
      <c r="AQ413" s="221"/>
      <c r="AR413" s="221"/>
      <c r="AS413" s="221"/>
      <c r="AT413" s="221"/>
      <c r="AU413" s="221"/>
      <c r="AV413" s="221"/>
      <c r="AW413" s="221"/>
    </row>
    <row r="414" spans="3:49" x14ac:dyDescent="0.25">
      <c r="C414" s="214"/>
      <c r="D414" s="36"/>
      <c r="E414" s="36"/>
      <c r="F414" s="214"/>
      <c r="G414" s="206"/>
      <c r="H414" s="206"/>
      <c r="I414" s="206"/>
      <c r="J414" s="221"/>
      <c r="K414" s="222"/>
      <c r="L414" s="221"/>
      <c r="M414" s="222"/>
      <c r="N414" s="221"/>
      <c r="O414" s="221"/>
      <c r="P414" s="221"/>
      <c r="Q414" s="221"/>
      <c r="R414" s="221"/>
      <c r="S414" s="221"/>
      <c r="T414" s="221"/>
      <c r="U414" s="221"/>
      <c r="V414" s="221"/>
      <c r="W414" s="221"/>
      <c r="X414" s="221"/>
      <c r="Y414" s="221"/>
      <c r="Z414" s="221"/>
      <c r="AA414" s="221"/>
      <c r="AB414" s="221"/>
      <c r="AC414" s="221"/>
      <c r="AD414" s="221"/>
      <c r="AE414" s="221"/>
      <c r="AF414" s="221"/>
      <c r="AG414" s="221"/>
      <c r="AH414" s="221"/>
      <c r="AI414" s="221"/>
      <c r="AJ414" s="221"/>
      <c r="AK414" s="221"/>
      <c r="AL414" s="221"/>
      <c r="AM414" s="221"/>
      <c r="AN414" s="221"/>
      <c r="AO414" s="221"/>
      <c r="AP414" s="221"/>
      <c r="AQ414" s="221"/>
      <c r="AR414" s="221"/>
      <c r="AS414" s="221"/>
      <c r="AT414" s="221"/>
      <c r="AU414" s="221"/>
      <c r="AV414" s="221"/>
      <c r="AW414" s="221"/>
    </row>
    <row r="415" spans="3:49" x14ac:dyDescent="0.25">
      <c r="C415" s="214"/>
      <c r="D415" s="36"/>
      <c r="E415" s="36"/>
      <c r="F415" s="36"/>
      <c r="G415" s="206"/>
      <c r="H415" s="206"/>
      <c r="I415" s="206"/>
      <c r="J415" s="221"/>
      <c r="K415" s="222"/>
      <c r="L415" s="221"/>
      <c r="M415" s="222"/>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c r="AI415" s="221"/>
      <c r="AJ415" s="221"/>
      <c r="AK415" s="221"/>
      <c r="AL415" s="221"/>
      <c r="AM415" s="221"/>
      <c r="AN415" s="221"/>
      <c r="AO415" s="221"/>
      <c r="AP415" s="221"/>
      <c r="AQ415" s="221"/>
      <c r="AR415" s="221"/>
      <c r="AS415" s="221"/>
      <c r="AT415" s="221"/>
      <c r="AU415" s="221"/>
      <c r="AV415" s="221"/>
      <c r="AW415" s="221"/>
    </row>
    <row r="416" spans="3:49" x14ac:dyDescent="0.25">
      <c r="C416" s="214"/>
      <c r="D416" s="36"/>
      <c r="E416" s="36"/>
      <c r="F416" s="214"/>
      <c r="G416" s="206"/>
      <c r="H416" s="206"/>
      <c r="I416" s="206"/>
      <c r="J416" s="221"/>
      <c r="K416" s="222"/>
      <c r="L416" s="221"/>
      <c r="M416" s="222"/>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21"/>
      <c r="AL416" s="221"/>
      <c r="AM416" s="221"/>
      <c r="AN416" s="221"/>
      <c r="AO416" s="221"/>
      <c r="AP416" s="221"/>
      <c r="AQ416" s="221"/>
      <c r="AR416" s="221"/>
      <c r="AS416" s="221"/>
      <c r="AT416" s="221"/>
      <c r="AU416" s="221"/>
      <c r="AV416" s="221"/>
      <c r="AW416" s="221"/>
    </row>
    <row r="417" spans="3:49" x14ac:dyDescent="0.25">
      <c r="C417" s="214"/>
      <c r="D417" s="36"/>
      <c r="E417" s="36"/>
      <c r="F417" s="214"/>
      <c r="G417" s="206"/>
      <c r="H417" s="206"/>
      <c r="I417" s="206"/>
      <c r="J417" s="221"/>
      <c r="K417" s="222"/>
      <c r="L417" s="221"/>
      <c r="M417" s="222"/>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1"/>
      <c r="AK417" s="221"/>
      <c r="AL417" s="221"/>
      <c r="AM417" s="221"/>
      <c r="AN417" s="221"/>
      <c r="AO417" s="221"/>
      <c r="AP417" s="221"/>
      <c r="AQ417" s="221"/>
      <c r="AR417" s="221"/>
      <c r="AS417" s="221"/>
      <c r="AT417" s="221"/>
      <c r="AU417" s="221"/>
      <c r="AV417" s="221"/>
      <c r="AW417" s="221"/>
    </row>
    <row r="418" spans="3:49" x14ac:dyDescent="0.25">
      <c r="C418" s="214"/>
      <c r="D418" s="36"/>
      <c r="E418" s="36"/>
      <c r="F418" s="36"/>
      <c r="G418" s="206"/>
      <c r="H418" s="206"/>
      <c r="I418" s="206"/>
      <c r="J418" s="221"/>
      <c r="K418" s="222"/>
      <c r="L418" s="221"/>
      <c r="M418" s="222"/>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c r="AI418" s="221"/>
      <c r="AJ418" s="221"/>
      <c r="AK418" s="221"/>
      <c r="AL418" s="221"/>
      <c r="AM418" s="221"/>
      <c r="AN418" s="221"/>
      <c r="AO418" s="221"/>
      <c r="AP418" s="221"/>
      <c r="AQ418" s="221"/>
      <c r="AR418" s="221"/>
      <c r="AS418" s="221"/>
      <c r="AT418" s="221"/>
      <c r="AU418" s="221"/>
      <c r="AV418" s="221"/>
      <c r="AW418" s="221"/>
    </row>
    <row r="419" spans="3:49" x14ac:dyDescent="0.25">
      <c r="C419" s="214"/>
      <c r="D419" s="36"/>
      <c r="E419" s="36"/>
      <c r="F419" s="214"/>
      <c r="G419" s="206"/>
      <c r="H419" s="206"/>
      <c r="I419" s="206"/>
      <c r="J419" s="221"/>
      <c r="K419" s="222"/>
      <c r="L419" s="221"/>
      <c r="M419" s="222"/>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221"/>
      <c r="AJ419" s="221"/>
      <c r="AK419" s="221"/>
      <c r="AL419" s="221"/>
      <c r="AM419" s="221"/>
      <c r="AN419" s="221"/>
      <c r="AO419" s="221"/>
      <c r="AP419" s="221"/>
      <c r="AQ419" s="221"/>
      <c r="AR419" s="221"/>
      <c r="AS419" s="221"/>
      <c r="AT419" s="221"/>
      <c r="AU419" s="221"/>
      <c r="AV419" s="221"/>
      <c r="AW419" s="221"/>
    </row>
    <row r="420" spans="3:49" x14ac:dyDescent="0.25">
      <c r="C420" s="214"/>
      <c r="D420" s="36"/>
      <c r="E420" s="36"/>
      <c r="F420" s="214"/>
      <c r="G420" s="206"/>
      <c r="H420" s="206"/>
      <c r="I420" s="206"/>
      <c r="J420" s="221"/>
      <c r="K420" s="222"/>
      <c r="L420" s="221"/>
      <c r="M420" s="222"/>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1"/>
      <c r="AP420" s="221"/>
      <c r="AQ420" s="221"/>
      <c r="AR420" s="221"/>
      <c r="AS420" s="221"/>
      <c r="AT420" s="221"/>
      <c r="AU420" s="221"/>
      <c r="AV420" s="221"/>
      <c r="AW420" s="221"/>
    </row>
    <row r="421" spans="3:49" x14ac:dyDescent="0.25">
      <c r="C421" s="214"/>
      <c r="D421" s="36"/>
      <c r="E421" s="36"/>
      <c r="F421" s="36"/>
      <c r="G421" s="206"/>
      <c r="H421" s="206"/>
      <c r="I421" s="206"/>
      <c r="J421" s="221"/>
      <c r="K421" s="222"/>
      <c r="L421" s="221"/>
      <c r="M421" s="222"/>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c r="AR421" s="221"/>
      <c r="AS421" s="221"/>
      <c r="AT421" s="221"/>
      <c r="AU421" s="221"/>
      <c r="AV421" s="221"/>
      <c r="AW421" s="221"/>
    </row>
    <row r="422" spans="3:49" x14ac:dyDescent="0.25">
      <c r="C422" s="214"/>
      <c r="D422" s="36"/>
      <c r="E422" s="36"/>
      <c r="F422" s="214"/>
      <c r="G422" s="206"/>
      <c r="H422" s="206"/>
      <c r="I422" s="206"/>
      <c r="J422" s="221"/>
      <c r="K422" s="222"/>
      <c r="L422" s="221"/>
      <c r="M422" s="222"/>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c r="AI422" s="221"/>
      <c r="AJ422" s="221"/>
      <c r="AK422" s="221"/>
      <c r="AL422" s="221"/>
      <c r="AM422" s="221"/>
      <c r="AN422" s="221"/>
      <c r="AO422" s="221"/>
      <c r="AP422" s="221"/>
      <c r="AQ422" s="221"/>
      <c r="AR422" s="221"/>
      <c r="AS422" s="221"/>
      <c r="AT422" s="221"/>
      <c r="AU422" s="221"/>
      <c r="AV422" s="221"/>
      <c r="AW422" s="221"/>
    </row>
    <row r="423" spans="3:49" x14ac:dyDescent="0.25">
      <c r="C423" s="214"/>
      <c r="D423" s="36"/>
      <c r="E423" s="36"/>
      <c r="F423" s="214"/>
      <c r="G423" s="206"/>
      <c r="H423" s="206"/>
      <c r="I423" s="206"/>
      <c r="J423" s="221"/>
      <c r="K423" s="222"/>
      <c r="L423" s="221"/>
      <c r="M423" s="222"/>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221"/>
      <c r="AJ423" s="221"/>
      <c r="AK423" s="221"/>
      <c r="AL423" s="221"/>
      <c r="AM423" s="221"/>
      <c r="AN423" s="221"/>
      <c r="AO423" s="221"/>
      <c r="AP423" s="221"/>
      <c r="AQ423" s="221"/>
      <c r="AR423" s="221"/>
      <c r="AS423" s="221"/>
      <c r="AT423" s="221"/>
      <c r="AU423" s="221"/>
      <c r="AV423" s="221"/>
      <c r="AW423" s="221"/>
    </row>
    <row r="424" spans="3:49" x14ac:dyDescent="0.25">
      <c r="C424" s="214"/>
      <c r="D424" s="36"/>
      <c r="E424" s="36"/>
      <c r="F424" s="36"/>
      <c r="G424" s="206"/>
      <c r="H424" s="206"/>
      <c r="I424" s="206"/>
      <c r="J424" s="221"/>
      <c r="K424" s="222"/>
      <c r="L424" s="221"/>
      <c r="M424" s="222"/>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221"/>
      <c r="AJ424" s="221"/>
      <c r="AK424" s="221"/>
      <c r="AL424" s="221"/>
      <c r="AM424" s="221"/>
      <c r="AN424" s="221"/>
      <c r="AO424" s="221"/>
      <c r="AP424" s="221"/>
      <c r="AQ424" s="221"/>
      <c r="AR424" s="221"/>
      <c r="AS424" s="221"/>
      <c r="AT424" s="221"/>
      <c r="AU424" s="221"/>
      <c r="AV424" s="221"/>
      <c r="AW424" s="221"/>
    </row>
    <row r="425" spans="3:49" x14ac:dyDescent="0.25">
      <c r="C425" s="214"/>
      <c r="D425" s="36"/>
      <c r="E425" s="36"/>
      <c r="F425" s="214"/>
      <c r="G425" s="206"/>
      <c r="H425" s="206"/>
      <c r="I425" s="206"/>
      <c r="J425" s="221"/>
      <c r="K425" s="222"/>
      <c r="L425" s="221"/>
      <c r="M425" s="222"/>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c r="AI425" s="221"/>
      <c r="AJ425" s="221"/>
      <c r="AK425" s="221"/>
      <c r="AL425" s="221"/>
      <c r="AM425" s="221"/>
      <c r="AN425" s="221"/>
      <c r="AO425" s="221"/>
      <c r="AP425" s="221"/>
      <c r="AQ425" s="221"/>
      <c r="AR425" s="221"/>
      <c r="AS425" s="221"/>
      <c r="AT425" s="221"/>
      <c r="AU425" s="221"/>
      <c r="AV425" s="221"/>
      <c r="AW425" s="221"/>
    </row>
    <row r="426" spans="3:49" x14ac:dyDescent="0.25">
      <c r="C426" s="214"/>
      <c r="D426" s="36"/>
      <c r="E426" s="36"/>
      <c r="F426" s="214"/>
      <c r="G426" s="206"/>
      <c r="H426" s="206"/>
      <c r="I426" s="206"/>
      <c r="J426" s="221"/>
      <c r="K426" s="222"/>
      <c r="L426" s="221"/>
      <c r="M426" s="222"/>
      <c r="N426" s="221"/>
      <c r="O426" s="221"/>
      <c r="P426" s="221"/>
      <c r="Q426" s="221"/>
      <c r="R426" s="221"/>
      <c r="S426" s="221"/>
      <c r="T426" s="221"/>
      <c r="U426" s="221"/>
      <c r="V426" s="221"/>
      <c r="W426" s="221"/>
      <c r="X426" s="221"/>
      <c r="Y426" s="221"/>
      <c r="Z426" s="221"/>
      <c r="AA426" s="221"/>
      <c r="AB426" s="221"/>
      <c r="AC426" s="221"/>
      <c r="AD426" s="221"/>
      <c r="AE426" s="221"/>
      <c r="AF426" s="221"/>
      <c r="AG426" s="221"/>
      <c r="AH426" s="221"/>
      <c r="AI426" s="221"/>
      <c r="AJ426" s="221"/>
      <c r="AK426" s="221"/>
      <c r="AL426" s="221"/>
      <c r="AM426" s="221"/>
      <c r="AN426" s="221"/>
      <c r="AO426" s="221"/>
      <c r="AP426" s="221"/>
      <c r="AQ426" s="221"/>
      <c r="AR426" s="221"/>
      <c r="AS426" s="221"/>
      <c r="AT426" s="221"/>
      <c r="AU426" s="221"/>
      <c r="AV426" s="221"/>
      <c r="AW426" s="221"/>
    </row>
    <row r="427" spans="3:49" x14ac:dyDescent="0.25">
      <c r="C427" s="214"/>
      <c r="D427" s="36"/>
      <c r="E427" s="36"/>
      <c r="F427" s="36"/>
      <c r="G427" s="206"/>
      <c r="H427" s="206"/>
      <c r="I427" s="206"/>
      <c r="J427" s="221"/>
      <c r="K427" s="222"/>
      <c r="L427" s="221"/>
      <c r="M427" s="222"/>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221"/>
      <c r="AJ427" s="221"/>
      <c r="AK427" s="221"/>
      <c r="AL427" s="221"/>
      <c r="AM427" s="221"/>
      <c r="AN427" s="221"/>
      <c r="AO427" s="221"/>
      <c r="AP427" s="221"/>
      <c r="AQ427" s="221"/>
      <c r="AR427" s="221"/>
      <c r="AS427" s="221"/>
      <c r="AT427" s="221"/>
      <c r="AU427" s="221"/>
      <c r="AV427" s="221"/>
      <c r="AW427" s="221"/>
    </row>
    <row r="428" spans="3:49" x14ac:dyDescent="0.25">
      <c r="C428" s="214"/>
      <c r="D428" s="36"/>
      <c r="E428" s="36"/>
      <c r="F428" s="214"/>
      <c r="G428" s="206"/>
      <c r="H428" s="206"/>
      <c r="I428" s="206"/>
      <c r="J428" s="221"/>
      <c r="K428" s="222"/>
      <c r="L428" s="221"/>
      <c r="M428" s="222"/>
      <c r="N428" s="221"/>
      <c r="O428" s="221"/>
      <c r="P428" s="221"/>
      <c r="Q428" s="221"/>
      <c r="R428" s="221"/>
      <c r="S428" s="221"/>
      <c r="T428" s="221"/>
      <c r="U428" s="221"/>
      <c r="V428" s="221"/>
      <c r="W428" s="221"/>
      <c r="X428" s="221"/>
      <c r="Y428" s="221"/>
      <c r="Z428" s="221"/>
      <c r="AA428" s="221"/>
      <c r="AB428" s="221"/>
      <c r="AC428" s="221"/>
      <c r="AD428" s="221"/>
      <c r="AE428" s="221"/>
      <c r="AF428" s="221"/>
      <c r="AG428" s="221"/>
      <c r="AH428" s="221"/>
      <c r="AI428" s="221"/>
      <c r="AJ428" s="221"/>
      <c r="AK428" s="221"/>
      <c r="AL428" s="221"/>
      <c r="AM428" s="221"/>
      <c r="AN428" s="221"/>
      <c r="AO428" s="221"/>
      <c r="AP428" s="221"/>
      <c r="AQ428" s="221"/>
      <c r="AR428" s="221"/>
      <c r="AS428" s="221"/>
      <c r="AT428" s="221"/>
      <c r="AU428" s="221"/>
      <c r="AV428" s="221"/>
      <c r="AW428" s="221"/>
    </row>
    <row r="429" spans="3:49" x14ac:dyDescent="0.25">
      <c r="C429" s="214"/>
      <c r="D429" s="36"/>
      <c r="E429" s="36"/>
      <c r="F429" s="214"/>
      <c r="G429" s="206"/>
      <c r="H429" s="206"/>
      <c r="I429" s="206"/>
      <c r="J429" s="221"/>
      <c r="K429" s="222"/>
      <c r="L429" s="221"/>
      <c r="M429" s="222"/>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21"/>
      <c r="AL429" s="221"/>
      <c r="AM429" s="221"/>
      <c r="AN429" s="221"/>
      <c r="AO429" s="221"/>
      <c r="AP429" s="221"/>
      <c r="AQ429" s="221"/>
      <c r="AR429" s="221"/>
      <c r="AS429" s="221"/>
      <c r="AT429" s="221"/>
      <c r="AU429" s="221"/>
      <c r="AV429" s="221"/>
      <c r="AW429" s="221"/>
    </row>
    <row r="430" spans="3:49" x14ac:dyDescent="0.25">
      <c r="C430" s="214"/>
      <c r="D430" s="36"/>
      <c r="E430" s="36"/>
      <c r="F430" s="36"/>
      <c r="G430" s="206"/>
      <c r="H430" s="206"/>
      <c r="I430" s="206"/>
      <c r="J430" s="221"/>
      <c r="K430" s="222"/>
      <c r="L430" s="221"/>
      <c r="M430" s="222"/>
      <c r="N430" s="221"/>
      <c r="O430" s="221"/>
      <c r="P430" s="221"/>
      <c r="Q430" s="221"/>
      <c r="R430" s="221"/>
      <c r="S430" s="221"/>
      <c r="T430" s="221"/>
      <c r="U430" s="221"/>
      <c r="V430" s="221"/>
      <c r="W430" s="221"/>
      <c r="X430" s="221"/>
      <c r="Y430" s="221"/>
      <c r="Z430" s="221"/>
      <c r="AA430" s="221"/>
      <c r="AB430" s="221"/>
      <c r="AC430" s="221"/>
      <c r="AD430" s="221"/>
      <c r="AE430" s="221"/>
      <c r="AF430" s="221"/>
      <c r="AG430" s="221"/>
      <c r="AH430" s="221"/>
      <c r="AI430" s="221"/>
      <c r="AJ430" s="221"/>
      <c r="AK430" s="221"/>
      <c r="AL430" s="221"/>
      <c r="AM430" s="221"/>
      <c r="AN430" s="221"/>
      <c r="AO430" s="221"/>
      <c r="AP430" s="221"/>
      <c r="AQ430" s="221"/>
      <c r="AR430" s="221"/>
      <c r="AS430" s="221"/>
      <c r="AT430" s="221"/>
      <c r="AU430" s="221"/>
      <c r="AV430" s="221"/>
      <c r="AW430" s="221"/>
    </row>
    <row r="431" spans="3:49" x14ac:dyDescent="0.25">
      <c r="C431" s="214"/>
      <c r="D431" s="36"/>
      <c r="E431" s="36"/>
      <c r="F431" s="214"/>
      <c r="G431" s="206"/>
      <c r="H431" s="206"/>
      <c r="I431" s="206"/>
      <c r="J431" s="221"/>
      <c r="K431" s="222"/>
      <c r="L431" s="221"/>
      <c r="M431" s="222"/>
      <c r="N431" s="221"/>
      <c r="O431" s="221"/>
      <c r="P431" s="221"/>
      <c r="Q431" s="221"/>
      <c r="R431" s="221"/>
      <c r="S431" s="221"/>
      <c r="T431" s="221"/>
      <c r="U431" s="221"/>
      <c r="V431" s="221"/>
      <c r="W431" s="221"/>
      <c r="X431" s="221"/>
      <c r="Y431" s="221"/>
      <c r="Z431" s="221"/>
      <c r="AA431" s="221"/>
      <c r="AB431" s="221"/>
      <c r="AC431" s="221"/>
      <c r="AD431" s="221"/>
      <c r="AE431" s="221"/>
      <c r="AF431" s="221"/>
      <c r="AG431" s="221"/>
      <c r="AH431" s="221"/>
      <c r="AI431" s="221"/>
      <c r="AJ431" s="221"/>
      <c r="AK431" s="221"/>
      <c r="AL431" s="221"/>
      <c r="AM431" s="221"/>
      <c r="AN431" s="221"/>
      <c r="AO431" s="221"/>
      <c r="AP431" s="221"/>
      <c r="AQ431" s="221"/>
      <c r="AR431" s="221"/>
      <c r="AS431" s="221"/>
      <c r="AT431" s="221"/>
      <c r="AU431" s="221"/>
      <c r="AV431" s="221"/>
      <c r="AW431" s="221"/>
    </row>
    <row r="432" spans="3:49" x14ac:dyDescent="0.25">
      <c r="C432" s="214"/>
      <c r="D432" s="36"/>
      <c r="E432" s="36"/>
      <c r="F432" s="214"/>
      <c r="G432" s="206"/>
      <c r="H432" s="206"/>
      <c r="I432" s="206"/>
      <c r="J432" s="221"/>
      <c r="K432" s="222"/>
      <c r="L432" s="221"/>
      <c r="M432" s="222"/>
      <c r="N432" s="221"/>
      <c r="O432" s="221"/>
      <c r="P432" s="221"/>
      <c r="Q432" s="221"/>
      <c r="R432" s="221"/>
      <c r="S432" s="221"/>
      <c r="T432" s="221"/>
      <c r="U432" s="221"/>
      <c r="V432" s="221"/>
      <c r="W432" s="221"/>
      <c r="X432" s="221"/>
      <c r="Y432" s="221"/>
      <c r="Z432" s="221"/>
      <c r="AA432" s="221"/>
      <c r="AB432" s="221"/>
      <c r="AC432" s="221"/>
      <c r="AD432" s="221"/>
      <c r="AE432" s="221"/>
      <c r="AF432" s="221"/>
      <c r="AG432" s="221"/>
      <c r="AH432" s="221"/>
      <c r="AI432" s="221"/>
      <c r="AJ432" s="221"/>
      <c r="AK432" s="221"/>
      <c r="AL432" s="221"/>
      <c r="AM432" s="221"/>
      <c r="AN432" s="221"/>
      <c r="AO432" s="221"/>
      <c r="AP432" s="221"/>
      <c r="AQ432" s="221"/>
      <c r="AR432" s="221"/>
      <c r="AS432" s="221"/>
      <c r="AT432" s="221"/>
      <c r="AU432" s="221"/>
      <c r="AV432" s="221"/>
      <c r="AW432" s="221"/>
    </row>
    <row r="433" spans="3:49" x14ac:dyDescent="0.25">
      <c r="C433" s="214"/>
      <c r="D433" s="36"/>
      <c r="E433" s="36"/>
      <c r="F433" s="36"/>
      <c r="G433" s="206"/>
      <c r="H433" s="206"/>
      <c r="I433" s="206"/>
      <c r="J433" s="221"/>
      <c r="K433" s="222"/>
      <c r="L433" s="221"/>
      <c r="M433" s="222"/>
      <c r="N433" s="221"/>
      <c r="O433" s="221"/>
      <c r="P433" s="221"/>
      <c r="Q433" s="221"/>
      <c r="R433" s="221"/>
      <c r="S433" s="221"/>
      <c r="T433" s="221"/>
      <c r="U433" s="221"/>
      <c r="V433" s="221"/>
      <c r="W433" s="221"/>
      <c r="X433" s="221"/>
      <c r="Y433" s="221"/>
      <c r="Z433" s="221"/>
      <c r="AA433" s="221"/>
      <c r="AB433" s="221"/>
      <c r="AC433" s="221"/>
      <c r="AD433" s="221"/>
      <c r="AE433" s="221"/>
      <c r="AF433" s="221"/>
      <c r="AG433" s="221"/>
      <c r="AH433" s="221"/>
      <c r="AI433" s="221"/>
      <c r="AJ433" s="221"/>
      <c r="AK433" s="221"/>
      <c r="AL433" s="221"/>
      <c r="AM433" s="221"/>
      <c r="AN433" s="221"/>
      <c r="AO433" s="221"/>
      <c r="AP433" s="221"/>
      <c r="AQ433" s="221"/>
      <c r="AR433" s="221"/>
      <c r="AS433" s="221"/>
      <c r="AT433" s="221"/>
      <c r="AU433" s="221"/>
      <c r="AV433" s="221"/>
      <c r="AW433" s="221"/>
    </row>
    <row r="434" spans="3:49" x14ac:dyDescent="0.25">
      <c r="C434" s="214"/>
      <c r="D434" s="36"/>
      <c r="E434" s="36"/>
      <c r="F434" s="214"/>
      <c r="G434" s="206"/>
      <c r="H434" s="206"/>
      <c r="I434" s="206"/>
      <c r="J434" s="221"/>
      <c r="K434" s="222"/>
      <c r="L434" s="221"/>
      <c r="M434" s="222"/>
      <c r="N434" s="221"/>
      <c r="O434" s="221"/>
      <c r="P434" s="221"/>
      <c r="Q434" s="221"/>
      <c r="R434" s="221"/>
      <c r="S434" s="221"/>
      <c r="T434" s="221"/>
      <c r="U434" s="221"/>
      <c r="V434" s="221"/>
      <c r="W434" s="221"/>
      <c r="X434" s="221"/>
      <c r="Y434" s="221"/>
      <c r="Z434" s="221"/>
      <c r="AA434" s="221"/>
      <c r="AB434" s="221"/>
      <c r="AC434" s="221"/>
      <c r="AD434" s="221"/>
      <c r="AE434" s="221"/>
      <c r="AF434" s="221"/>
      <c r="AG434" s="221"/>
      <c r="AH434" s="221"/>
      <c r="AI434" s="221"/>
      <c r="AJ434" s="221"/>
      <c r="AK434" s="221"/>
      <c r="AL434" s="221"/>
      <c r="AM434" s="221"/>
      <c r="AN434" s="221"/>
      <c r="AO434" s="221"/>
      <c r="AP434" s="221"/>
      <c r="AQ434" s="221"/>
      <c r="AR434" s="221"/>
      <c r="AS434" s="221"/>
      <c r="AT434" s="221"/>
      <c r="AU434" s="221"/>
      <c r="AV434" s="221"/>
      <c r="AW434" s="221"/>
    </row>
    <row r="435" spans="3:49" x14ac:dyDescent="0.25">
      <c r="C435" s="214"/>
      <c r="D435" s="36"/>
      <c r="E435" s="36"/>
      <c r="F435" s="214"/>
      <c r="G435" s="206"/>
      <c r="H435" s="206"/>
      <c r="I435" s="206"/>
      <c r="J435" s="221"/>
      <c r="K435" s="222"/>
      <c r="L435" s="221"/>
      <c r="M435" s="222"/>
      <c r="N435" s="221"/>
      <c r="O435" s="221"/>
      <c r="P435" s="221"/>
      <c r="Q435" s="221"/>
      <c r="R435" s="221"/>
      <c r="S435" s="221"/>
      <c r="T435" s="221"/>
      <c r="U435" s="221"/>
      <c r="V435" s="221"/>
      <c r="W435" s="221"/>
      <c r="X435" s="221"/>
      <c r="Y435" s="221"/>
      <c r="Z435" s="221"/>
      <c r="AA435" s="221"/>
      <c r="AB435" s="221"/>
      <c r="AC435" s="221"/>
      <c r="AD435" s="221"/>
      <c r="AE435" s="221"/>
      <c r="AF435" s="221"/>
      <c r="AG435" s="221"/>
      <c r="AH435" s="221"/>
      <c r="AI435" s="221"/>
      <c r="AJ435" s="221"/>
      <c r="AK435" s="221"/>
      <c r="AL435" s="221"/>
      <c r="AM435" s="221"/>
      <c r="AN435" s="221"/>
      <c r="AO435" s="221"/>
      <c r="AP435" s="221"/>
      <c r="AQ435" s="221"/>
      <c r="AR435" s="221"/>
      <c r="AS435" s="221"/>
      <c r="AT435" s="221"/>
      <c r="AU435" s="221"/>
      <c r="AV435" s="221"/>
      <c r="AW435" s="221"/>
    </row>
    <row r="436" spans="3:49" x14ac:dyDescent="0.25">
      <c r="C436" s="214"/>
      <c r="D436" s="36"/>
      <c r="E436" s="36"/>
      <c r="F436" s="36"/>
      <c r="G436" s="206"/>
      <c r="H436" s="206"/>
      <c r="I436" s="206"/>
      <c r="J436" s="221"/>
      <c r="K436" s="222"/>
      <c r="L436" s="221"/>
      <c r="M436" s="222"/>
      <c r="N436" s="221"/>
      <c r="O436" s="221"/>
      <c r="P436" s="221"/>
      <c r="Q436" s="221"/>
      <c r="R436" s="221"/>
      <c r="S436" s="221"/>
      <c r="T436" s="221"/>
      <c r="U436" s="221"/>
      <c r="V436" s="221"/>
      <c r="W436" s="221"/>
      <c r="X436" s="221"/>
      <c r="Y436" s="221"/>
      <c r="Z436" s="221"/>
      <c r="AA436" s="221"/>
      <c r="AB436" s="221"/>
      <c r="AC436" s="221"/>
      <c r="AD436" s="221"/>
      <c r="AE436" s="221"/>
      <c r="AF436" s="221"/>
      <c r="AG436" s="221"/>
      <c r="AH436" s="221"/>
      <c r="AI436" s="221"/>
      <c r="AJ436" s="221"/>
      <c r="AK436" s="221"/>
      <c r="AL436" s="221"/>
      <c r="AM436" s="221"/>
      <c r="AN436" s="221"/>
      <c r="AO436" s="221"/>
      <c r="AP436" s="221"/>
      <c r="AQ436" s="221"/>
      <c r="AR436" s="221"/>
      <c r="AS436" s="221"/>
      <c r="AT436" s="221"/>
      <c r="AU436" s="221"/>
      <c r="AV436" s="221"/>
      <c r="AW436" s="221"/>
    </row>
    <row r="437" spans="3:49" x14ac:dyDescent="0.25">
      <c r="C437" s="214"/>
      <c r="D437" s="36"/>
      <c r="E437" s="36"/>
      <c r="F437" s="214"/>
      <c r="G437" s="206"/>
      <c r="H437" s="206"/>
      <c r="I437" s="206"/>
      <c r="J437" s="221"/>
      <c r="K437" s="222"/>
      <c r="L437" s="221"/>
      <c r="M437" s="222"/>
      <c r="N437" s="221"/>
      <c r="O437" s="221"/>
      <c r="P437" s="221"/>
      <c r="Q437" s="221"/>
      <c r="R437" s="221"/>
      <c r="S437" s="221"/>
      <c r="T437" s="221"/>
      <c r="U437" s="221"/>
      <c r="V437" s="221"/>
      <c r="W437" s="221"/>
      <c r="X437" s="221"/>
      <c r="Y437" s="221"/>
      <c r="Z437" s="221"/>
      <c r="AA437" s="221"/>
      <c r="AB437" s="221"/>
      <c r="AC437" s="221"/>
      <c r="AD437" s="221"/>
      <c r="AE437" s="221"/>
      <c r="AF437" s="221"/>
      <c r="AG437" s="221"/>
      <c r="AH437" s="221"/>
      <c r="AI437" s="221"/>
      <c r="AJ437" s="221"/>
      <c r="AK437" s="221"/>
      <c r="AL437" s="221"/>
      <c r="AM437" s="221"/>
      <c r="AN437" s="221"/>
      <c r="AO437" s="221"/>
      <c r="AP437" s="221"/>
      <c r="AQ437" s="221"/>
      <c r="AR437" s="221"/>
      <c r="AS437" s="221"/>
      <c r="AT437" s="221"/>
      <c r="AU437" s="221"/>
      <c r="AV437" s="221"/>
      <c r="AW437" s="221"/>
    </row>
    <row r="438" spans="3:49" x14ac:dyDescent="0.25">
      <c r="C438" s="214"/>
      <c r="D438" s="36"/>
      <c r="E438" s="36"/>
      <c r="F438" s="214"/>
      <c r="G438" s="206"/>
      <c r="H438" s="206"/>
      <c r="I438" s="206"/>
      <c r="J438" s="221"/>
      <c r="K438" s="222"/>
      <c r="L438" s="221"/>
      <c r="M438" s="222"/>
      <c r="N438" s="221"/>
      <c r="O438" s="221"/>
      <c r="P438" s="221"/>
      <c r="Q438" s="221"/>
      <c r="R438" s="221"/>
      <c r="S438" s="221"/>
      <c r="T438" s="221"/>
      <c r="U438" s="221"/>
      <c r="V438" s="221"/>
      <c r="W438" s="221"/>
      <c r="X438" s="221"/>
      <c r="Y438" s="221"/>
      <c r="Z438" s="221"/>
      <c r="AA438" s="221"/>
      <c r="AB438" s="221"/>
      <c r="AC438" s="221"/>
      <c r="AD438" s="221"/>
      <c r="AE438" s="221"/>
      <c r="AF438" s="221"/>
      <c r="AG438" s="221"/>
      <c r="AH438" s="221"/>
      <c r="AI438" s="221"/>
      <c r="AJ438" s="221"/>
      <c r="AK438" s="221"/>
      <c r="AL438" s="221"/>
      <c r="AM438" s="221"/>
      <c r="AN438" s="221"/>
      <c r="AO438" s="221"/>
      <c r="AP438" s="221"/>
      <c r="AQ438" s="221"/>
      <c r="AR438" s="221"/>
      <c r="AS438" s="221"/>
      <c r="AT438" s="221"/>
      <c r="AU438" s="221"/>
      <c r="AV438" s="221"/>
      <c r="AW438" s="221"/>
    </row>
    <row r="439" spans="3:49" x14ac:dyDescent="0.25">
      <c r="C439" s="214"/>
      <c r="D439" s="36"/>
      <c r="E439" s="36"/>
      <c r="F439" s="36"/>
      <c r="G439" s="206"/>
      <c r="H439" s="206"/>
      <c r="I439" s="206"/>
      <c r="J439" s="221"/>
      <c r="K439" s="222"/>
      <c r="L439" s="221"/>
      <c r="M439" s="222"/>
      <c r="N439" s="221"/>
      <c r="O439" s="221"/>
      <c r="P439" s="221"/>
      <c r="Q439" s="221"/>
      <c r="R439" s="221"/>
      <c r="S439" s="221"/>
      <c r="T439" s="221"/>
      <c r="U439" s="221"/>
      <c r="V439" s="221"/>
      <c r="W439" s="221"/>
      <c r="X439" s="221"/>
      <c r="Y439" s="221"/>
      <c r="Z439" s="221"/>
      <c r="AA439" s="221"/>
      <c r="AB439" s="221"/>
      <c r="AC439" s="221"/>
      <c r="AD439" s="221"/>
      <c r="AE439" s="221"/>
      <c r="AF439" s="221"/>
      <c r="AG439" s="221"/>
      <c r="AH439" s="221"/>
      <c r="AI439" s="221"/>
      <c r="AJ439" s="221"/>
      <c r="AK439" s="221"/>
      <c r="AL439" s="221"/>
      <c r="AM439" s="221"/>
      <c r="AN439" s="221"/>
      <c r="AO439" s="221"/>
      <c r="AP439" s="221"/>
      <c r="AQ439" s="221"/>
      <c r="AR439" s="221"/>
      <c r="AS439" s="221"/>
      <c r="AT439" s="221"/>
      <c r="AU439" s="221"/>
      <c r="AV439" s="221"/>
      <c r="AW439" s="221"/>
    </row>
    <row r="440" spans="3:49" x14ac:dyDescent="0.25">
      <c r="C440" s="214"/>
      <c r="D440" s="36"/>
      <c r="E440" s="36"/>
      <c r="F440" s="214"/>
      <c r="G440" s="206"/>
      <c r="H440" s="206"/>
      <c r="I440" s="206"/>
      <c r="J440" s="221"/>
      <c r="K440" s="222"/>
      <c r="L440" s="221"/>
      <c r="M440" s="222"/>
      <c r="N440" s="221"/>
      <c r="O440" s="221"/>
      <c r="P440" s="221"/>
      <c r="Q440" s="221"/>
      <c r="R440" s="221"/>
      <c r="S440" s="221"/>
      <c r="T440" s="221"/>
      <c r="U440" s="221"/>
      <c r="V440" s="221"/>
      <c r="W440" s="221"/>
      <c r="X440" s="221"/>
      <c r="Y440" s="221"/>
      <c r="Z440" s="221"/>
      <c r="AA440" s="221"/>
      <c r="AB440" s="221"/>
      <c r="AC440" s="221"/>
      <c r="AD440" s="221"/>
      <c r="AE440" s="221"/>
      <c r="AF440" s="221"/>
      <c r="AG440" s="221"/>
      <c r="AH440" s="221"/>
      <c r="AI440" s="221"/>
      <c r="AJ440" s="221"/>
      <c r="AK440" s="221"/>
      <c r="AL440" s="221"/>
      <c r="AM440" s="221"/>
      <c r="AN440" s="221"/>
      <c r="AO440" s="221"/>
      <c r="AP440" s="221"/>
      <c r="AQ440" s="221"/>
      <c r="AR440" s="221"/>
      <c r="AS440" s="221"/>
      <c r="AT440" s="221"/>
      <c r="AU440" s="221"/>
      <c r="AV440" s="221"/>
      <c r="AW440" s="221"/>
    </row>
    <row r="441" spans="3:49" x14ac:dyDescent="0.25">
      <c r="C441" s="214"/>
      <c r="D441" s="36"/>
      <c r="E441" s="36"/>
      <c r="F441" s="214"/>
      <c r="G441" s="206"/>
      <c r="H441" s="206"/>
      <c r="I441" s="206"/>
      <c r="J441" s="221"/>
      <c r="K441" s="222"/>
      <c r="L441" s="221"/>
      <c r="M441" s="222"/>
      <c r="N441" s="221"/>
      <c r="O441" s="221"/>
      <c r="P441" s="221"/>
      <c r="Q441" s="221"/>
      <c r="R441" s="221"/>
      <c r="S441" s="221"/>
      <c r="T441" s="221"/>
      <c r="U441" s="221"/>
      <c r="V441" s="221"/>
      <c r="W441" s="221"/>
      <c r="X441" s="221"/>
      <c r="Y441" s="221"/>
      <c r="Z441" s="221"/>
      <c r="AA441" s="221"/>
      <c r="AB441" s="221"/>
      <c r="AC441" s="221"/>
      <c r="AD441" s="221"/>
      <c r="AE441" s="221"/>
      <c r="AF441" s="221"/>
      <c r="AG441" s="221"/>
      <c r="AH441" s="221"/>
      <c r="AI441" s="221"/>
      <c r="AJ441" s="221"/>
      <c r="AK441" s="221"/>
      <c r="AL441" s="221"/>
      <c r="AM441" s="221"/>
      <c r="AN441" s="221"/>
      <c r="AO441" s="221"/>
      <c r="AP441" s="221"/>
      <c r="AQ441" s="221"/>
      <c r="AR441" s="221"/>
      <c r="AS441" s="221"/>
      <c r="AT441" s="221"/>
      <c r="AU441" s="221"/>
      <c r="AV441" s="221"/>
      <c r="AW441" s="221"/>
    </row>
    <row r="442" spans="3:49" x14ac:dyDescent="0.25">
      <c r="C442" s="214"/>
      <c r="D442" s="36"/>
      <c r="E442" s="36"/>
      <c r="F442" s="36"/>
      <c r="G442" s="206"/>
      <c r="H442" s="206"/>
      <c r="I442" s="206"/>
      <c r="J442" s="221"/>
      <c r="K442" s="222"/>
      <c r="L442" s="221"/>
      <c r="M442" s="222"/>
      <c r="N442" s="221"/>
      <c r="O442" s="221"/>
      <c r="P442" s="221"/>
      <c r="Q442" s="221"/>
      <c r="R442" s="221"/>
      <c r="S442" s="221"/>
      <c r="T442" s="221"/>
      <c r="U442" s="221"/>
      <c r="V442" s="221"/>
      <c r="W442" s="221"/>
      <c r="X442" s="221"/>
      <c r="Y442" s="221"/>
      <c r="Z442" s="221"/>
      <c r="AA442" s="221"/>
      <c r="AB442" s="221"/>
      <c r="AC442" s="221"/>
      <c r="AD442" s="221"/>
      <c r="AE442" s="221"/>
      <c r="AF442" s="221"/>
      <c r="AG442" s="221"/>
      <c r="AH442" s="221"/>
      <c r="AI442" s="221"/>
      <c r="AJ442" s="221"/>
      <c r="AK442" s="221"/>
      <c r="AL442" s="221"/>
      <c r="AM442" s="221"/>
      <c r="AN442" s="221"/>
      <c r="AO442" s="221"/>
      <c r="AP442" s="221"/>
      <c r="AQ442" s="221"/>
      <c r="AR442" s="221"/>
      <c r="AS442" s="221"/>
      <c r="AT442" s="221"/>
      <c r="AU442" s="221"/>
      <c r="AV442" s="221"/>
      <c r="AW442" s="221"/>
    </row>
    <row r="443" spans="3:49" x14ac:dyDescent="0.25">
      <c r="C443" s="214"/>
      <c r="D443" s="36"/>
      <c r="E443" s="36"/>
      <c r="F443" s="214"/>
      <c r="G443" s="206"/>
      <c r="H443" s="206"/>
      <c r="I443" s="206"/>
      <c r="J443" s="221"/>
      <c r="K443" s="222"/>
      <c r="L443" s="221"/>
      <c r="M443" s="222"/>
      <c r="N443" s="221"/>
      <c r="O443" s="221"/>
      <c r="P443" s="221"/>
      <c r="Q443" s="221"/>
      <c r="R443" s="221"/>
      <c r="S443" s="221"/>
      <c r="T443" s="221"/>
      <c r="U443" s="221"/>
      <c r="V443" s="221"/>
      <c r="W443" s="221"/>
      <c r="X443" s="221"/>
      <c r="Y443" s="221"/>
      <c r="Z443" s="221"/>
      <c r="AA443" s="221"/>
      <c r="AB443" s="221"/>
      <c r="AC443" s="221"/>
      <c r="AD443" s="221"/>
      <c r="AE443" s="221"/>
      <c r="AF443" s="221"/>
      <c r="AG443" s="221"/>
      <c r="AH443" s="221"/>
      <c r="AI443" s="221"/>
      <c r="AJ443" s="221"/>
      <c r="AK443" s="221"/>
      <c r="AL443" s="221"/>
      <c r="AM443" s="221"/>
      <c r="AN443" s="221"/>
      <c r="AO443" s="221"/>
      <c r="AP443" s="221"/>
      <c r="AQ443" s="221"/>
      <c r="AR443" s="221"/>
      <c r="AS443" s="221"/>
      <c r="AT443" s="221"/>
      <c r="AU443" s="221"/>
      <c r="AV443" s="221"/>
      <c r="AW443" s="221"/>
    </row>
    <row r="444" spans="3:49" x14ac:dyDescent="0.25">
      <c r="C444" s="214"/>
      <c r="D444" s="36"/>
      <c r="E444" s="36"/>
      <c r="F444" s="214"/>
      <c r="G444" s="206"/>
      <c r="H444" s="206"/>
      <c r="I444" s="206"/>
      <c r="J444" s="221"/>
      <c r="K444" s="222"/>
      <c r="L444" s="221"/>
      <c r="M444" s="222"/>
      <c r="N444" s="221"/>
      <c r="O444" s="221"/>
      <c r="P444" s="221"/>
      <c r="Q444" s="221"/>
      <c r="R444" s="221"/>
      <c r="S444" s="221"/>
      <c r="T444" s="221"/>
      <c r="U444" s="221"/>
      <c r="V444" s="221"/>
      <c r="W444" s="221"/>
      <c r="X444" s="221"/>
      <c r="Y444" s="221"/>
      <c r="Z444" s="221"/>
      <c r="AA444" s="221"/>
      <c r="AB444" s="221"/>
      <c r="AC444" s="221"/>
      <c r="AD444" s="221"/>
      <c r="AE444" s="221"/>
      <c r="AF444" s="221"/>
      <c r="AG444" s="221"/>
      <c r="AH444" s="221"/>
      <c r="AI444" s="221"/>
      <c r="AJ444" s="221"/>
      <c r="AK444" s="221"/>
      <c r="AL444" s="221"/>
      <c r="AM444" s="221"/>
      <c r="AN444" s="221"/>
      <c r="AO444" s="221"/>
      <c r="AP444" s="221"/>
      <c r="AQ444" s="221"/>
      <c r="AR444" s="221"/>
      <c r="AS444" s="221"/>
      <c r="AT444" s="221"/>
      <c r="AU444" s="221"/>
      <c r="AV444" s="221"/>
      <c r="AW444" s="221"/>
    </row>
    <row r="445" spans="3:49" x14ac:dyDescent="0.25">
      <c r="C445" s="214"/>
      <c r="D445" s="36"/>
      <c r="E445" s="36"/>
      <c r="F445" s="36"/>
      <c r="G445" s="206"/>
      <c r="H445" s="206"/>
      <c r="I445" s="206"/>
      <c r="J445" s="221"/>
      <c r="K445" s="222"/>
      <c r="L445" s="221"/>
      <c r="M445" s="222"/>
      <c r="N445" s="221"/>
      <c r="O445" s="221"/>
      <c r="P445" s="221"/>
      <c r="Q445" s="221"/>
      <c r="R445" s="221"/>
      <c r="S445" s="221"/>
      <c r="T445" s="221"/>
      <c r="U445" s="221"/>
      <c r="V445" s="221"/>
      <c r="W445" s="221"/>
      <c r="X445" s="221"/>
      <c r="Y445" s="221"/>
      <c r="Z445" s="221"/>
      <c r="AA445" s="221"/>
      <c r="AB445" s="221"/>
      <c r="AC445" s="221"/>
      <c r="AD445" s="221"/>
      <c r="AE445" s="221"/>
      <c r="AF445" s="221"/>
      <c r="AG445" s="221"/>
      <c r="AH445" s="221"/>
      <c r="AI445" s="221"/>
      <c r="AJ445" s="221"/>
      <c r="AK445" s="221"/>
      <c r="AL445" s="221"/>
      <c r="AM445" s="221"/>
      <c r="AN445" s="221"/>
      <c r="AO445" s="221"/>
      <c r="AP445" s="221"/>
      <c r="AQ445" s="221"/>
      <c r="AR445" s="221"/>
      <c r="AS445" s="221"/>
      <c r="AT445" s="221"/>
      <c r="AU445" s="221"/>
      <c r="AV445" s="221"/>
      <c r="AW445" s="221"/>
    </row>
    <row r="446" spans="3:49" x14ac:dyDescent="0.25">
      <c r="C446" s="214"/>
      <c r="D446" s="36"/>
      <c r="E446" s="36"/>
      <c r="F446" s="214"/>
      <c r="G446" s="206"/>
      <c r="H446" s="206"/>
      <c r="I446" s="206"/>
      <c r="J446" s="221"/>
      <c r="K446" s="222"/>
      <c r="L446" s="221"/>
      <c r="M446" s="222"/>
      <c r="N446" s="221"/>
      <c r="O446" s="221"/>
      <c r="P446" s="221"/>
      <c r="Q446" s="221"/>
      <c r="R446" s="221"/>
      <c r="S446" s="221"/>
      <c r="T446" s="221"/>
      <c r="U446" s="221"/>
      <c r="V446" s="221"/>
      <c r="W446" s="221"/>
      <c r="X446" s="221"/>
      <c r="Y446" s="221"/>
      <c r="Z446" s="221"/>
      <c r="AA446" s="221"/>
      <c r="AB446" s="221"/>
      <c r="AC446" s="221"/>
      <c r="AD446" s="221"/>
      <c r="AE446" s="221"/>
      <c r="AF446" s="221"/>
      <c r="AG446" s="221"/>
      <c r="AH446" s="221"/>
      <c r="AI446" s="221"/>
      <c r="AJ446" s="221"/>
      <c r="AK446" s="221"/>
      <c r="AL446" s="221"/>
      <c r="AM446" s="221"/>
      <c r="AN446" s="221"/>
      <c r="AO446" s="221"/>
      <c r="AP446" s="221"/>
      <c r="AQ446" s="221"/>
      <c r="AR446" s="221"/>
      <c r="AS446" s="221"/>
      <c r="AT446" s="221"/>
      <c r="AU446" s="221"/>
      <c r="AV446" s="221"/>
      <c r="AW446" s="221"/>
    </row>
    <row r="447" spans="3:49" x14ac:dyDescent="0.25">
      <c r="C447" s="214"/>
      <c r="D447" s="36"/>
      <c r="E447" s="36"/>
      <c r="F447" s="214"/>
      <c r="G447" s="206"/>
      <c r="H447" s="206"/>
      <c r="I447" s="206"/>
      <c r="J447" s="221"/>
      <c r="K447" s="222"/>
      <c r="L447" s="221"/>
      <c r="M447" s="222"/>
      <c r="N447" s="221"/>
      <c r="O447" s="221"/>
      <c r="P447" s="221"/>
      <c r="Q447" s="221"/>
      <c r="R447" s="221"/>
      <c r="S447" s="221"/>
      <c r="T447" s="221"/>
      <c r="U447" s="221"/>
      <c r="V447" s="221"/>
      <c r="W447" s="221"/>
      <c r="X447" s="221"/>
      <c r="Y447" s="221"/>
      <c r="Z447" s="221"/>
      <c r="AA447" s="221"/>
      <c r="AB447" s="221"/>
      <c r="AC447" s="221"/>
      <c r="AD447" s="221"/>
      <c r="AE447" s="221"/>
      <c r="AF447" s="221"/>
      <c r="AG447" s="221"/>
      <c r="AH447" s="221"/>
      <c r="AI447" s="221"/>
      <c r="AJ447" s="221"/>
      <c r="AK447" s="221"/>
      <c r="AL447" s="221"/>
      <c r="AM447" s="221"/>
      <c r="AN447" s="221"/>
      <c r="AO447" s="221"/>
      <c r="AP447" s="221"/>
      <c r="AQ447" s="221"/>
      <c r="AR447" s="221"/>
      <c r="AS447" s="221"/>
      <c r="AT447" s="221"/>
      <c r="AU447" s="221"/>
      <c r="AV447" s="221"/>
      <c r="AW447" s="221"/>
    </row>
    <row r="448" spans="3:49" x14ac:dyDescent="0.25">
      <c r="C448" s="214"/>
      <c r="D448" s="36"/>
      <c r="E448" s="36"/>
      <c r="F448" s="36"/>
      <c r="G448" s="206"/>
      <c r="H448" s="206"/>
      <c r="I448" s="206"/>
      <c r="J448" s="221"/>
      <c r="K448" s="222"/>
      <c r="L448" s="221"/>
      <c r="M448" s="222"/>
      <c r="N448" s="221"/>
      <c r="O448" s="221"/>
      <c r="P448" s="221"/>
      <c r="Q448" s="221"/>
      <c r="R448" s="221"/>
      <c r="S448" s="221"/>
      <c r="T448" s="221"/>
      <c r="U448" s="221"/>
      <c r="V448" s="221"/>
      <c r="W448" s="221"/>
      <c r="X448" s="221"/>
      <c r="Y448" s="221"/>
      <c r="Z448" s="221"/>
      <c r="AA448" s="221"/>
      <c r="AB448" s="221"/>
      <c r="AC448" s="221"/>
      <c r="AD448" s="221"/>
      <c r="AE448" s="221"/>
      <c r="AF448" s="221"/>
      <c r="AG448" s="221"/>
      <c r="AH448" s="221"/>
      <c r="AI448" s="221"/>
      <c r="AJ448" s="221"/>
      <c r="AK448" s="221"/>
      <c r="AL448" s="221"/>
      <c r="AM448" s="221"/>
      <c r="AN448" s="221"/>
      <c r="AO448" s="221"/>
      <c r="AP448" s="221"/>
      <c r="AQ448" s="221"/>
      <c r="AR448" s="221"/>
      <c r="AS448" s="221"/>
      <c r="AT448" s="221"/>
      <c r="AU448" s="221"/>
      <c r="AV448" s="221"/>
      <c r="AW448" s="221"/>
    </row>
    <row r="449" spans="3:49" x14ac:dyDescent="0.25">
      <c r="C449" s="214"/>
      <c r="D449" s="36"/>
      <c r="E449" s="36"/>
      <c r="F449" s="214"/>
      <c r="G449" s="206"/>
      <c r="H449" s="206"/>
      <c r="I449" s="206"/>
      <c r="J449" s="221"/>
      <c r="K449" s="222"/>
      <c r="L449" s="221"/>
      <c r="M449" s="222"/>
      <c r="N449" s="221"/>
      <c r="O449" s="221"/>
      <c r="P449" s="221"/>
      <c r="Q449" s="221"/>
      <c r="R449" s="221"/>
      <c r="S449" s="221"/>
      <c r="T449" s="221"/>
      <c r="U449" s="221"/>
      <c r="V449" s="221"/>
      <c r="W449" s="221"/>
      <c r="X449" s="221"/>
      <c r="Y449" s="221"/>
      <c r="Z449" s="221"/>
      <c r="AA449" s="221"/>
      <c r="AB449" s="221"/>
      <c r="AC449" s="221"/>
      <c r="AD449" s="221"/>
      <c r="AE449" s="221"/>
      <c r="AF449" s="221"/>
      <c r="AG449" s="221"/>
      <c r="AH449" s="221"/>
      <c r="AI449" s="221"/>
      <c r="AJ449" s="221"/>
      <c r="AK449" s="221"/>
      <c r="AL449" s="221"/>
      <c r="AM449" s="221"/>
      <c r="AN449" s="221"/>
      <c r="AO449" s="221"/>
      <c r="AP449" s="221"/>
      <c r="AQ449" s="221"/>
      <c r="AR449" s="221"/>
      <c r="AS449" s="221"/>
      <c r="AT449" s="221"/>
      <c r="AU449" s="221"/>
      <c r="AV449" s="221"/>
      <c r="AW449" s="221"/>
    </row>
    <row r="450" spans="3:49" x14ac:dyDescent="0.25">
      <c r="C450" s="214"/>
      <c r="D450" s="36"/>
      <c r="E450" s="36"/>
      <c r="F450" s="214"/>
      <c r="G450" s="206"/>
      <c r="H450" s="206"/>
      <c r="I450" s="206"/>
      <c r="J450" s="221"/>
      <c r="K450" s="222"/>
      <c r="L450" s="221"/>
      <c r="M450" s="222"/>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c r="AS450" s="221"/>
      <c r="AT450" s="221"/>
      <c r="AU450" s="221"/>
      <c r="AV450" s="221"/>
      <c r="AW450" s="221"/>
    </row>
    <row r="451" spans="3:49" x14ac:dyDescent="0.25">
      <c r="C451" s="214"/>
      <c r="D451" s="36"/>
      <c r="E451" s="36"/>
      <c r="F451" s="36"/>
      <c r="G451" s="206"/>
      <c r="H451" s="206"/>
      <c r="I451" s="206"/>
      <c r="J451" s="221"/>
      <c r="K451" s="222"/>
      <c r="L451" s="221"/>
      <c r="M451" s="222"/>
      <c r="N451" s="221"/>
      <c r="O451" s="221"/>
      <c r="P451" s="221"/>
      <c r="Q451" s="221"/>
      <c r="R451" s="221"/>
      <c r="S451" s="221"/>
      <c r="T451" s="221"/>
      <c r="U451" s="221"/>
      <c r="V451" s="221"/>
      <c r="W451" s="221"/>
      <c r="X451" s="221"/>
      <c r="Y451" s="221"/>
      <c r="Z451" s="221"/>
      <c r="AA451" s="221"/>
      <c r="AB451" s="221"/>
      <c r="AC451" s="221"/>
      <c r="AD451" s="221"/>
      <c r="AE451" s="221"/>
      <c r="AF451" s="221"/>
      <c r="AG451" s="221"/>
      <c r="AH451" s="221"/>
      <c r="AI451" s="221"/>
      <c r="AJ451" s="221"/>
      <c r="AK451" s="221"/>
      <c r="AL451" s="221"/>
      <c r="AM451" s="221"/>
      <c r="AN451" s="221"/>
      <c r="AO451" s="221"/>
      <c r="AP451" s="221"/>
      <c r="AQ451" s="221"/>
      <c r="AR451" s="221"/>
      <c r="AS451" s="221"/>
      <c r="AT451" s="221"/>
      <c r="AU451" s="221"/>
      <c r="AV451" s="221"/>
      <c r="AW451" s="221"/>
    </row>
    <row r="452" spans="3:49" x14ac:dyDescent="0.25">
      <c r="C452" s="214"/>
      <c r="D452" s="36"/>
      <c r="E452" s="36"/>
      <c r="F452" s="214"/>
      <c r="G452" s="206"/>
      <c r="H452" s="206"/>
      <c r="I452" s="206"/>
      <c r="J452" s="221"/>
      <c r="K452" s="222"/>
      <c r="L452" s="221"/>
      <c r="M452" s="222"/>
      <c r="N452" s="221"/>
      <c r="O452" s="221"/>
      <c r="P452" s="221"/>
      <c r="Q452" s="221"/>
      <c r="R452" s="221"/>
      <c r="S452" s="221"/>
      <c r="T452" s="221"/>
      <c r="U452" s="221"/>
      <c r="V452" s="221"/>
      <c r="W452" s="221"/>
      <c r="X452" s="221"/>
      <c r="Y452" s="221"/>
      <c r="Z452" s="221"/>
      <c r="AA452" s="221"/>
      <c r="AB452" s="221"/>
      <c r="AC452" s="221"/>
      <c r="AD452" s="221"/>
      <c r="AE452" s="221"/>
      <c r="AF452" s="221"/>
      <c r="AG452" s="221"/>
      <c r="AH452" s="221"/>
      <c r="AI452" s="221"/>
      <c r="AJ452" s="221"/>
      <c r="AK452" s="221"/>
      <c r="AL452" s="221"/>
      <c r="AM452" s="221"/>
      <c r="AN452" s="221"/>
      <c r="AO452" s="221"/>
      <c r="AP452" s="221"/>
      <c r="AQ452" s="221"/>
      <c r="AR452" s="221"/>
      <c r="AS452" s="221"/>
      <c r="AT452" s="221"/>
      <c r="AU452" s="221"/>
      <c r="AV452" s="221"/>
      <c r="AW452" s="221"/>
    </row>
    <row r="453" spans="3:49" x14ac:dyDescent="0.25">
      <c r="C453" s="214"/>
      <c r="D453" s="36"/>
      <c r="E453" s="36"/>
      <c r="F453" s="214"/>
      <c r="G453" s="206"/>
      <c r="H453" s="206"/>
      <c r="I453" s="206"/>
      <c r="J453" s="221"/>
      <c r="K453" s="222"/>
      <c r="L453" s="221"/>
      <c r="M453" s="222"/>
      <c r="N453" s="221"/>
      <c r="O453" s="221"/>
      <c r="P453" s="221"/>
      <c r="Q453" s="221"/>
      <c r="R453" s="221"/>
      <c r="S453" s="221"/>
      <c r="T453" s="221"/>
      <c r="U453" s="221"/>
      <c r="V453" s="221"/>
      <c r="W453" s="221"/>
      <c r="X453" s="221"/>
      <c r="Y453" s="221"/>
      <c r="Z453" s="221"/>
      <c r="AA453" s="221"/>
      <c r="AB453" s="221"/>
      <c r="AC453" s="221"/>
      <c r="AD453" s="221"/>
      <c r="AE453" s="221"/>
      <c r="AF453" s="221"/>
      <c r="AG453" s="221"/>
      <c r="AH453" s="221"/>
      <c r="AI453" s="221"/>
      <c r="AJ453" s="221"/>
      <c r="AK453" s="221"/>
      <c r="AL453" s="221"/>
      <c r="AM453" s="221"/>
      <c r="AN453" s="221"/>
      <c r="AO453" s="221"/>
      <c r="AP453" s="221"/>
      <c r="AQ453" s="221"/>
      <c r="AR453" s="221"/>
      <c r="AS453" s="221"/>
      <c r="AT453" s="221"/>
      <c r="AU453" s="221"/>
      <c r="AV453" s="221"/>
      <c r="AW453" s="221"/>
    </row>
    <row r="454" spans="3:49" x14ac:dyDescent="0.25">
      <c r="C454" s="214"/>
      <c r="D454" s="36"/>
      <c r="E454" s="36"/>
      <c r="F454" s="36"/>
      <c r="G454" s="206"/>
      <c r="H454" s="206"/>
      <c r="I454" s="206"/>
      <c r="J454" s="221"/>
      <c r="K454" s="222"/>
      <c r="L454" s="221"/>
      <c r="M454" s="222"/>
      <c r="N454" s="221"/>
      <c r="O454" s="221"/>
      <c r="P454" s="221"/>
      <c r="Q454" s="221"/>
      <c r="R454" s="221"/>
      <c r="S454" s="221"/>
      <c r="T454" s="221"/>
      <c r="U454" s="221"/>
      <c r="V454" s="221"/>
      <c r="W454" s="221"/>
      <c r="X454" s="221"/>
      <c r="Y454" s="221"/>
      <c r="Z454" s="221"/>
      <c r="AA454" s="221"/>
      <c r="AB454" s="221"/>
      <c r="AC454" s="221"/>
      <c r="AD454" s="221"/>
      <c r="AE454" s="221"/>
      <c r="AF454" s="221"/>
      <c r="AG454" s="221"/>
      <c r="AH454" s="221"/>
      <c r="AI454" s="221"/>
      <c r="AJ454" s="221"/>
      <c r="AK454" s="221"/>
      <c r="AL454" s="221"/>
      <c r="AM454" s="221"/>
      <c r="AN454" s="221"/>
      <c r="AO454" s="221"/>
      <c r="AP454" s="221"/>
      <c r="AQ454" s="221"/>
      <c r="AR454" s="221"/>
      <c r="AS454" s="221"/>
      <c r="AT454" s="221"/>
      <c r="AU454" s="221"/>
      <c r="AV454" s="221"/>
      <c r="AW454" s="221"/>
    </row>
    <row r="455" spans="3:49" x14ac:dyDescent="0.25">
      <c r="C455" s="214"/>
      <c r="D455" s="36"/>
      <c r="E455" s="36"/>
      <c r="F455" s="214"/>
      <c r="G455" s="206"/>
      <c r="H455" s="206"/>
      <c r="I455" s="206"/>
      <c r="J455" s="221"/>
      <c r="K455" s="222"/>
      <c r="L455" s="221"/>
      <c r="M455" s="222"/>
      <c r="N455" s="221"/>
      <c r="O455" s="221"/>
      <c r="P455" s="221"/>
      <c r="Q455" s="221"/>
      <c r="R455" s="221"/>
      <c r="S455" s="221"/>
      <c r="T455" s="221"/>
      <c r="U455" s="221"/>
      <c r="V455" s="221"/>
      <c r="W455" s="221"/>
      <c r="X455" s="221"/>
      <c r="Y455" s="221"/>
      <c r="Z455" s="221"/>
      <c r="AA455" s="221"/>
      <c r="AB455" s="221"/>
      <c r="AC455" s="221"/>
      <c r="AD455" s="221"/>
      <c r="AE455" s="221"/>
      <c r="AF455" s="221"/>
      <c r="AG455" s="221"/>
      <c r="AH455" s="221"/>
      <c r="AI455" s="221"/>
      <c r="AJ455" s="221"/>
      <c r="AK455" s="221"/>
      <c r="AL455" s="221"/>
      <c r="AM455" s="221"/>
      <c r="AN455" s="221"/>
      <c r="AO455" s="221"/>
      <c r="AP455" s="221"/>
      <c r="AQ455" s="221"/>
      <c r="AR455" s="221"/>
      <c r="AS455" s="221"/>
      <c r="AT455" s="221"/>
      <c r="AU455" s="221"/>
      <c r="AV455" s="221"/>
      <c r="AW455" s="221"/>
    </row>
    <row r="456" spans="3:49" x14ac:dyDescent="0.25">
      <c r="C456" s="214"/>
      <c r="D456" s="36"/>
      <c r="E456" s="36"/>
      <c r="F456" s="214"/>
      <c r="G456" s="206"/>
      <c r="H456" s="206"/>
      <c r="I456" s="206"/>
      <c r="J456" s="221"/>
      <c r="K456" s="222"/>
      <c r="L456" s="221"/>
      <c r="M456" s="222"/>
      <c r="N456" s="221"/>
      <c r="O456" s="221"/>
      <c r="P456" s="221"/>
      <c r="Q456" s="221"/>
      <c r="R456" s="221"/>
      <c r="S456" s="221"/>
      <c r="T456" s="221"/>
      <c r="U456" s="221"/>
      <c r="V456" s="221"/>
      <c r="W456" s="221"/>
      <c r="X456" s="221"/>
      <c r="Y456" s="221"/>
      <c r="Z456" s="221"/>
      <c r="AA456" s="221"/>
      <c r="AB456" s="221"/>
      <c r="AC456" s="221"/>
      <c r="AD456" s="221"/>
      <c r="AE456" s="221"/>
      <c r="AF456" s="221"/>
      <c r="AG456" s="221"/>
      <c r="AH456" s="221"/>
      <c r="AI456" s="221"/>
      <c r="AJ456" s="221"/>
      <c r="AK456" s="221"/>
      <c r="AL456" s="221"/>
      <c r="AM456" s="221"/>
      <c r="AN456" s="221"/>
      <c r="AO456" s="221"/>
      <c r="AP456" s="221"/>
      <c r="AQ456" s="221"/>
      <c r="AR456" s="221"/>
      <c r="AS456" s="221"/>
      <c r="AT456" s="221"/>
      <c r="AU456" s="221"/>
      <c r="AV456" s="221"/>
      <c r="AW456" s="221"/>
    </row>
    <row r="457" spans="3:49" x14ac:dyDescent="0.25">
      <c r="C457" s="214"/>
      <c r="D457" s="36"/>
      <c r="E457" s="36"/>
      <c r="F457" s="36"/>
      <c r="G457" s="206"/>
      <c r="H457" s="206"/>
      <c r="I457" s="206"/>
      <c r="J457" s="221"/>
      <c r="K457" s="222"/>
      <c r="L457" s="221"/>
      <c r="M457" s="222"/>
      <c r="N457" s="221"/>
      <c r="O457" s="221"/>
      <c r="P457" s="221"/>
      <c r="Q457" s="221"/>
      <c r="R457" s="221"/>
      <c r="S457" s="221"/>
      <c r="T457" s="221"/>
      <c r="U457" s="221"/>
      <c r="V457" s="221"/>
      <c r="W457" s="221"/>
      <c r="X457" s="221"/>
      <c r="Y457" s="221"/>
      <c r="Z457" s="221"/>
      <c r="AA457" s="221"/>
      <c r="AB457" s="221"/>
      <c r="AC457" s="221"/>
      <c r="AD457" s="221"/>
      <c r="AE457" s="221"/>
      <c r="AF457" s="221"/>
      <c r="AG457" s="221"/>
      <c r="AH457" s="221"/>
      <c r="AI457" s="221"/>
      <c r="AJ457" s="221"/>
      <c r="AK457" s="221"/>
      <c r="AL457" s="221"/>
      <c r="AM457" s="221"/>
      <c r="AN457" s="221"/>
      <c r="AO457" s="221"/>
      <c r="AP457" s="221"/>
      <c r="AQ457" s="221"/>
      <c r="AR457" s="221"/>
      <c r="AS457" s="221"/>
      <c r="AT457" s="221"/>
      <c r="AU457" s="221"/>
      <c r="AV457" s="221"/>
      <c r="AW457" s="221"/>
    </row>
    <row r="458" spans="3:49" x14ac:dyDescent="0.25">
      <c r="C458" s="214"/>
      <c r="D458" s="36"/>
      <c r="E458" s="36"/>
      <c r="F458" s="214"/>
      <c r="G458" s="206"/>
      <c r="H458" s="206"/>
      <c r="I458" s="206"/>
      <c r="J458" s="221"/>
      <c r="K458" s="222"/>
      <c r="L458" s="221"/>
      <c r="M458" s="222"/>
      <c r="N458" s="221"/>
      <c r="O458" s="221"/>
      <c r="P458" s="221"/>
      <c r="Q458" s="221"/>
      <c r="R458" s="221"/>
      <c r="S458" s="221"/>
      <c r="T458" s="221"/>
      <c r="U458" s="221"/>
      <c r="V458" s="221"/>
      <c r="W458" s="221"/>
      <c r="X458" s="221"/>
      <c r="Y458" s="221"/>
      <c r="Z458" s="221"/>
      <c r="AA458" s="221"/>
      <c r="AB458" s="221"/>
      <c r="AC458" s="221"/>
      <c r="AD458" s="221"/>
      <c r="AE458" s="221"/>
      <c r="AF458" s="221"/>
      <c r="AG458" s="221"/>
      <c r="AH458" s="221"/>
      <c r="AI458" s="221"/>
      <c r="AJ458" s="221"/>
      <c r="AK458" s="221"/>
      <c r="AL458" s="221"/>
      <c r="AM458" s="221"/>
      <c r="AN458" s="221"/>
      <c r="AO458" s="221"/>
      <c r="AP458" s="221"/>
      <c r="AQ458" s="221"/>
      <c r="AR458" s="221"/>
      <c r="AS458" s="221"/>
      <c r="AT458" s="221"/>
      <c r="AU458" s="221"/>
      <c r="AV458" s="221"/>
      <c r="AW458" s="221"/>
    </row>
    <row r="459" spans="3:49" x14ac:dyDescent="0.25">
      <c r="C459" s="214"/>
      <c r="D459" s="36"/>
      <c r="E459" s="36"/>
      <c r="F459" s="214"/>
      <c r="G459" s="206"/>
      <c r="H459" s="206"/>
      <c r="I459" s="206"/>
      <c r="J459" s="221"/>
      <c r="K459" s="222"/>
      <c r="L459" s="221"/>
      <c r="M459" s="222"/>
      <c r="N459" s="221"/>
      <c r="O459" s="221"/>
      <c r="P459" s="221"/>
      <c r="Q459" s="221"/>
      <c r="R459" s="221"/>
      <c r="S459" s="221"/>
      <c r="T459" s="221"/>
      <c r="U459" s="221"/>
      <c r="V459" s="221"/>
      <c r="W459" s="221"/>
      <c r="X459" s="221"/>
      <c r="Y459" s="221"/>
      <c r="Z459" s="221"/>
      <c r="AA459" s="221"/>
      <c r="AB459" s="221"/>
      <c r="AC459" s="221"/>
      <c r="AD459" s="221"/>
      <c r="AE459" s="221"/>
      <c r="AF459" s="221"/>
      <c r="AG459" s="221"/>
      <c r="AH459" s="221"/>
      <c r="AI459" s="221"/>
      <c r="AJ459" s="221"/>
      <c r="AK459" s="221"/>
      <c r="AL459" s="221"/>
      <c r="AM459" s="221"/>
      <c r="AN459" s="221"/>
      <c r="AO459" s="221"/>
      <c r="AP459" s="221"/>
      <c r="AQ459" s="221"/>
      <c r="AR459" s="221"/>
      <c r="AS459" s="221"/>
      <c r="AT459" s="221"/>
      <c r="AU459" s="221"/>
      <c r="AV459" s="221"/>
      <c r="AW459" s="221"/>
    </row>
    <row r="460" spans="3:49" x14ac:dyDescent="0.25">
      <c r="C460" s="214"/>
      <c r="D460" s="36"/>
      <c r="E460" s="36"/>
      <c r="F460" s="36"/>
      <c r="G460" s="206"/>
      <c r="H460" s="206"/>
      <c r="I460" s="206"/>
      <c r="J460" s="221"/>
      <c r="K460" s="222"/>
      <c r="L460" s="221"/>
      <c r="M460" s="222"/>
      <c r="N460" s="221"/>
      <c r="O460" s="221"/>
      <c r="P460" s="221"/>
      <c r="Q460" s="221"/>
      <c r="R460" s="221"/>
      <c r="S460" s="221"/>
      <c r="T460" s="221"/>
      <c r="U460" s="221"/>
      <c r="V460" s="221"/>
      <c r="W460" s="221"/>
      <c r="X460" s="221"/>
      <c r="Y460" s="221"/>
      <c r="Z460" s="221"/>
      <c r="AA460" s="221"/>
      <c r="AB460" s="221"/>
      <c r="AC460" s="221"/>
      <c r="AD460" s="221"/>
      <c r="AE460" s="221"/>
      <c r="AF460" s="221"/>
      <c r="AG460" s="221"/>
      <c r="AH460" s="221"/>
      <c r="AI460" s="221"/>
      <c r="AJ460" s="221"/>
      <c r="AK460" s="221"/>
      <c r="AL460" s="221"/>
      <c r="AM460" s="221"/>
      <c r="AN460" s="221"/>
      <c r="AO460" s="221"/>
      <c r="AP460" s="221"/>
      <c r="AQ460" s="221"/>
      <c r="AR460" s="221"/>
      <c r="AS460" s="221"/>
      <c r="AT460" s="221"/>
      <c r="AU460" s="221"/>
      <c r="AV460" s="221"/>
      <c r="AW460" s="221"/>
    </row>
    <row r="461" spans="3:49" x14ac:dyDescent="0.25">
      <c r="C461" s="214"/>
      <c r="D461" s="36"/>
      <c r="E461" s="36"/>
      <c r="F461" s="214"/>
      <c r="G461" s="206"/>
      <c r="H461" s="206"/>
      <c r="I461" s="206"/>
      <c r="J461" s="221"/>
      <c r="K461" s="222"/>
      <c r="L461" s="221"/>
      <c r="M461" s="222"/>
      <c r="N461" s="221"/>
      <c r="O461" s="221"/>
      <c r="P461" s="221"/>
      <c r="Q461" s="221"/>
      <c r="R461" s="221"/>
      <c r="S461" s="221"/>
      <c r="T461" s="221"/>
      <c r="U461" s="221"/>
      <c r="V461" s="221"/>
      <c r="W461" s="221"/>
      <c r="X461" s="221"/>
      <c r="Y461" s="221"/>
      <c r="Z461" s="221"/>
      <c r="AA461" s="221"/>
      <c r="AB461" s="221"/>
      <c r="AC461" s="221"/>
      <c r="AD461" s="221"/>
      <c r="AE461" s="221"/>
      <c r="AF461" s="221"/>
      <c r="AG461" s="221"/>
      <c r="AH461" s="221"/>
      <c r="AI461" s="221"/>
      <c r="AJ461" s="221"/>
      <c r="AK461" s="221"/>
      <c r="AL461" s="221"/>
      <c r="AM461" s="221"/>
      <c r="AN461" s="221"/>
      <c r="AO461" s="221"/>
      <c r="AP461" s="221"/>
      <c r="AQ461" s="221"/>
      <c r="AR461" s="221"/>
      <c r="AS461" s="221"/>
      <c r="AT461" s="221"/>
      <c r="AU461" s="221"/>
      <c r="AV461" s="221"/>
      <c r="AW461" s="221"/>
    </row>
    <row r="462" spans="3:49" x14ac:dyDescent="0.25">
      <c r="C462" s="214"/>
      <c r="D462" s="36"/>
      <c r="E462" s="36"/>
      <c r="F462" s="214"/>
      <c r="G462" s="206"/>
      <c r="H462" s="206"/>
      <c r="I462" s="206"/>
      <c r="J462" s="221"/>
      <c r="K462" s="222"/>
      <c r="L462" s="221"/>
      <c r="M462" s="222"/>
      <c r="N462" s="221"/>
      <c r="O462" s="221"/>
      <c r="P462" s="221"/>
      <c r="Q462" s="221"/>
      <c r="R462" s="221"/>
      <c r="S462" s="221"/>
      <c r="T462" s="221"/>
      <c r="U462" s="221"/>
      <c r="V462" s="221"/>
      <c r="W462" s="221"/>
      <c r="X462" s="221"/>
      <c r="Y462" s="221"/>
      <c r="Z462" s="221"/>
      <c r="AA462" s="221"/>
      <c r="AB462" s="221"/>
      <c r="AC462" s="221"/>
      <c r="AD462" s="221"/>
      <c r="AE462" s="221"/>
      <c r="AF462" s="221"/>
      <c r="AG462" s="221"/>
      <c r="AH462" s="221"/>
      <c r="AI462" s="221"/>
      <c r="AJ462" s="221"/>
      <c r="AK462" s="221"/>
      <c r="AL462" s="221"/>
      <c r="AM462" s="221"/>
      <c r="AN462" s="221"/>
      <c r="AO462" s="221"/>
      <c r="AP462" s="221"/>
      <c r="AQ462" s="221"/>
      <c r="AR462" s="221"/>
      <c r="AS462" s="221"/>
      <c r="AT462" s="221"/>
      <c r="AU462" s="221"/>
      <c r="AV462" s="221"/>
      <c r="AW462" s="221"/>
    </row>
    <row r="463" spans="3:49" x14ac:dyDescent="0.25">
      <c r="C463" s="214"/>
      <c r="D463" s="36"/>
      <c r="E463" s="36"/>
      <c r="F463" s="36"/>
      <c r="G463" s="206"/>
      <c r="H463" s="206"/>
      <c r="I463" s="206"/>
      <c r="J463" s="221"/>
      <c r="K463" s="222"/>
      <c r="L463" s="221"/>
      <c r="M463" s="222"/>
      <c r="N463" s="221"/>
      <c r="O463" s="221"/>
      <c r="P463" s="221"/>
      <c r="Q463" s="221"/>
      <c r="R463" s="221"/>
      <c r="S463" s="221"/>
      <c r="T463" s="221"/>
      <c r="U463" s="221"/>
      <c r="V463" s="221"/>
      <c r="W463" s="221"/>
      <c r="X463" s="221"/>
      <c r="Y463" s="221"/>
      <c r="Z463" s="221"/>
      <c r="AA463" s="221"/>
      <c r="AB463" s="221"/>
      <c r="AC463" s="221"/>
      <c r="AD463" s="221"/>
      <c r="AE463" s="221"/>
      <c r="AF463" s="221"/>
      <c r="AG463" s="221"/>
      <c r="AH463" s="221"/>
      <c r="AI463" s="221"/>
      <c r="AJ463" s="221"/>
      <c r="AK463" s="221"/>
      <c r="AL463" s="221"/>
      <c r="AM463" s="221"/>
      <c r="AN463" s="221"/>
      <c r="AO463" s="221"/>
      <c r="AP463" s="221"/>
      <c r="AQ463" s="221"/>
      <c r="AR463" s="221"/>
      <c r="AS463" s="221"/>
      <c r="AT463" s="221"/>
      <c r="AU463" s="221"/>
      <c r="AV463" s="221"/>
      <c r="AW463" s="221"/>
    </row>
    <row r="464" spans="3:49" x14ac:dyDescent="0.25">
      <c r="C464" s="214"/>
      <c r="D464" s="36"/>
      <c r="E464" s="36"/>
      <c r="F464" s="214"/>
      <c r="G464" s="206"/>
      <c r="H464" s="206"/>
      <c r="I464" s="206"/>
      <c r="J464" s="221"/>
      <c r="K464" s="222"/>
      <c r="L464" s="221"/>
      <c r="M464" s="222"/>
      <c r="N464" s="221"/>
      <c r="O464" s="221"/>
      <c r="P464" s="221"/>
      <c r="Q464" s="221"/>
      <c r="R464" s="221"/>
      <c r="S464" s="221"/>
      <c r="T464" s="221"/>
      <c r="U464" s="221"/>
      <c r="V464" s="221"/>
      <c r="W464" s="221"/>
      <c r="X464" s="221"/>
      <c r="Y464" s="221"/>
      <c r="Z464" s="221"/>
      <c r="AA464" s="221"/>
      <c r="AB464" s="221"/>
      <c r="AC464" s="221"/>
      <c r="AD464" s="221"/>
      <c r="AE464" s="221"/>
      <c r="AF464" s="221"/>
      <c r="AG464" s="221"/>
      <c r="AH464" s="221"/>
      <c r="AI464" s="221"/>
      <c r="AJ464" s="221"/>
      <c r="AK464" s="221"/>
      <c r="AL464" s="221"/>
      <c r="AM464" s="221"/>
      <c r="AN464" s="221"/>
      <c r="AO464" s="221"/>
      <c r="AP464" s="221"/>
      <c r="AQ464" s="221"/>
      <c r="AR464" s="221"/>
      <c r="AS464" s="221"/>
      <c r="AT464" s="221"/>
      <c r="AU464" s="221"/>
      <c r="AV464" s="221"/>
      <c r="AW464" s="221"/>
    </row>
    <row r="465" spans="3:49" x14ac:dyDescent="0.25">
      <c r="C465" s="214"/>
      <c r="D465" s="36"/>
      <c r="E465" s="36"/>
      <c r="F465" s="214"/>
      <c r="G465" s="206"/>
      <c r="H465" s="206"/>
      <c r="I465" s="206"/>
      <c r="J465" s="221"/>
      <c r="K465" s="222"/>
      <c r="L465" s="221"/>
      <c r="M465" s="222"/>
      <c r="N465" s="221"/>
      <c r="O465" s="221"/>
      <c r="P465" s="221"/>
      <c r="Q465" s="221"/>
      <c r="R465" s="221"/>
      <c r="S465" s="221"/>
      <c r="T465" s="221"/>
      <c r="U465" s="221"/>
      <c r="V465" s="221"/>
      <c r="W465" s="221"/>
      <c r="X465" s="221"/>
      <c r="Y465" s="221"/>
      <c r="Z465" s="221"/>
      <c r="AA465" s="221"/>
      <c r="AB465" s="221"/>
      <c r="AC465" s="221"/>
      <c r="AD465" s="221"/>
      <c r="AE465" s="221"/>
      <c r="AF465" s="221"/>
      <c r="AG465" s="221"/>
      <c r="AH465" s="221"/>
      <c r="AI465" s="221"/>
      <c r="AJ465" s="221"/>
      <c r="AK465" s="221"/>
      <c r="AL465" s="221"/>
      <c r="AM465" s="221"/>
      <c r="AN465" s="221"/>
      <c r="AO465" s="221"/>
      <c r="AP465" s="221"/>
      <c r="AQ465" s="221"/>
      <c r="AR465" s="221"/>
      <c r="AS465" s="221"/>
      <c r="AT465" s="221"/>
      <c r="AU465" s="221"/>
      <c r="AV465" s="221"/>
      <c r="AW465" s="221"/>
    </row>
    <row r="466" spans="3:49" x14ac:dyDescent="0.25">
      <c r="C466" s="214"/>
      <c r="D466" s="36"/>
      <c r="E466" s="36"/>
      <c r="F466" s="36"/>
      <c r="G466" s="206"/>
      <c r="H466" s="206"/>
      <c r="I466" s="206"/>
      <c r="J466" s="221"/>
      <c r="K466" s="222"/>
      <c r="L466" s="221"/>
      <c r="M466" s="222"/>
      <c r="N466" s="221"/>
      <c r="O466" s="221"/>
      <c r="P466" s="221"/>
      <c r="Q466" s="221"/>
      <c r="R466" s="221"/>
      <c r="S466" s="221"/>
      <c r="T466" s="221"/>
      <c r="U466" s="221"/>
      <c r="V466" s="221"/>
      <c r="W466" s="221"/>
      <c r="X466" s="221"/>
      <c r="Y466" s="221"/>
      <c r="Z466" s="221"/>
      <c r="AA466" s="221"/>
      <c r="AB466" s="221"/>
      <c r="AC466" s="221"/>
      <c r="AD466" s="221"/>
      <c r="AE466" s="221"/>
      <c r="AF466" s="221"/>
      <c r="AG466" s="221"/>
      <c r="AH466" s="221"/>
      <c r="AI466" s="221"/>
      <c r="AJ466" s="221"/>
      <c r="AK466" s="221"/>
      <c r="AL466" s="221"/>
      <c r="AM466" s="221"/>
      <c r="AN466" s="221"/>
      <c r="AO466" s="221"/>
      <c r="AP466" s="221"/>
      <c r="AQ466" s="221"/>
      <c r="AR466" s="221"/>
      <c r="AS466" s="221"/>
      <c r="AT466" s="221"/>
      <c r="AU466" s="221"/>
      <c r="AV466" s="221"/>
      <c r="AW466" s="221"/>
    </row>
    <row r="467" spans="3:49" x14ac:dyDescent="0.25">
      <c r="C467" s="214"/>
      <c r="D467" s="36"/>
      <c r="E467" s="36"/>
      <c r="F467" s="214"/>
      <c r="G467" s="206"/>
      <c r="H467" s="206"/>
      <c r="I467" s="206"/>
      <c r="J467" s="221"/>
      <c r="K467" s="222"/>
      <c r="L467" s="221"/>
      <c r="M467" s="222"/>
      <c r="N467" s="221"/>
      <c r="O467" s="221"/>
      <c r="P467" s="221"/>
      <c r="Q467" s="221"/>
      <c r="R467" s="221"/>
      <c r="S467" s="221"/>
      <c r="T467" s="221"/>
      <c r="U467" s="221"/>
      <c r="V467" s="221"/>
      <c r="W467" s="221"/>
      <c r="X467" s="221"/>
      <c r="Y467" s="221"/>
      <c r="Z467" s="221"/>
      <c r="AA467" s="221"/>
      <c r="AB467" s="221"/>
      <c r="AC467" s="221"/>
      <c r="AD467" s="221"/>
      <c r="AE467" s="221"/>
      <c r="AF467" s="221"/>
      <c r="AG467" s="221"/>
      <c r="AH467" s="221"/>
      <c r="AI467" s="221"/>
      <c r="AJ467" s="221"/>
      <c r="AK467" s="221"/>
      <c r="AL467" s="221"/>
      <c r="AM467" s="221"/>
      <c r="AN467" s="221"/>
      <c r="AO467" s="221"/>
      <c r="AP467" s="221"/>
      <c r="AQ467" s="221"/>
      <c r="AR467" s="221"/>
      <c r="AS467" s="221"/>
      <c r="AT467" s="221"/>
      <c r="AU467" s="221"/>
      <c r="AV467" s="221"/>
      <c r="AW467" s="221"/>
    </row>
    <row r="468" spans="3:49" x14ac:dyDescent="0.25">
      <c r="C468" s="214"/>
      <c r="D468" s="36"/>
      <c r="E468" s="36"/>
      <c r="F468" s="214"/>
      <c r="G468" s="206"/>
      <c r="H468" s="206"/>
      <c r="I468" s="206"/>
      <c r="J468" s="221"/>
      <c r="K468" s="222"/>
      <c r="L468" s="221"/>
      <c r="M468" s="222"/>
      <c r="N468" s="221"/>
      <c r="O468" s="221"/>
      <c r="P468" s="221"/>
      <c r="Q468" s="221"/>
      <c r="R468" s="221"/>
      <c r="S468" s="221"/>
      <c r="T468" s="221"/>
      <c r="U468" s="221"/>
      <c r="V468" s="221"/>
      <c r="W468" s="221"/>
      <c r="X468" s="221"/>
      <c r="Y468" s="221"/>
      <c r="Z468" s="221"/>
      <c r="AA468" s="221"/>
      <c r="AB468" s="221"/>
      <c r="AC468" s="221"/>
      <c r="AD468" s="221"/>
      <c r="AE468" s="221"/>
      <c r="AF468" s="221"/>
      <c r="AG468" s="221"/>
      <c r="AH468" s="221"/>
      <c r="AI468" s="221"/>
      <c r="AJ468" s="221"/>
      <c r="AK468" s="221"/>
      <c r="AL468" s="221"/>
      <c r="AM468" s="221"/>
      <c r="AN468" s="221"/>
      <c r="AO468" s="221"/>
      <c r="AP468" s="221"/>
      <c r="AQ468" s="221"/>
      <c r="AR468" s="221"/>
      <c r="AS468" s="221"/>
      <c r="AT468" s="221"/>
      <c r="AU468" s="221"/>
      <c r="AV468" s="221"/>
      <c r="AW468" s="221"/>
    </row>
    <row r="469" spans="3:49" x14ac:dyDescent="0.25">
      <c r="C469" s="214"/>
      <c r="D469" s="36"/>
      <c r="E469" s="36"/>
      <c r="F469" s="36"/>
      <c r="G469" s="206"/>
      <c r="H469" s="206"/>
      <c r="I469" s="206"/>
      <c r="J469" s="221"/>
      <c r="K469" s="222"/>
      <c r="L469" s="221"/>
      <c r="M469" s="222"/>
      <c r="N469" s="221"/>
      <c r="O469" s="221"/>
      <c r="P469" s="221"/>
      <c r="Q469" s="221"/>
      <c r="R469" s="221"/>
      <c r="S469" s="221"/>
      <c r="T469" s="221"/>
      <c r="U469" s="221"/>
      <c r="V469" s="221"/>
      <c r="W469" s="221"/>
      <c r="X469" s="221"/>
      <c r="Y469" s="221"/>
      <c r="Z469" s="221"/>
      <c r="AA469" s="221"/>
      <c r="AB469" s="221"/>
      <c r="AC469" s="221"/>
      <c r="AD469" s="221"/>
      <c r="AE469" s="221"/>
      <c r="AF469" s="221"/>
      <c r="AG469" s="221"/>
      <c r="AH469" s="221"/>
      <c r="AI469" s="221"/>
      <c r="AJ469" s="221"/>
      <c r="AK469" s="221"/>
      <c r="AL469" s="221"/>
      <c r="AM469" s="221"/>
      <c r="AN469" s="221"/>
      <c r="AO469" s="221"/>
      <c r="AP469" s="221"/>
      <c r="AQ469" s="221"/>
      <c r="AR469" s="221"/>
      <c r="AS469" s="221"/>
      <c r="AT469" s="221"/>
      <c r="AU469" s="221"/>
      <c r="AV469" s="221"/>
      <c r="AW469" s="221"/>
    </row>
    <row r="470" spans="3:49" x14ac:dyDescent="0.25">
      <c r="C470" s="214"/>
      <c r="D470" s="36"/>
      <c r="E470" s="36"/>
      <c r="F470" s="214"/>
      <c r="G470" s="206"/>
      <c r="H470" s="206"/>
      <c r="I470" s="206"/>
      <c r="J470" s="221"/>
      <c r="K470" s="222"/>
      <c r="L470" s="221"/>
      <c r="M470" s="222"/>
      <c r="N470" s="221"/>
      <c r="O470" s="221"/>
      <c r="P470" s="221"/>
      <c r="Q470" s="221"/>
      <c r="R470" s="221"/>
      <c r="S470" s="221"/>
      <c r="T470" s="221"/>
      <c r="U470" s="221"/>
      <c r="V470" s="221"/>
      <c r="W470" s="221"/>
      <c r="X470" s="221"/>
      <c r="Y470" s="221"/>
      <c r="Z470" s="221"/>
      <c r="AA470" s="221"/>
      <c r="AB470" s="221"/>
      <c r="AC470" s="221"/>
      <c r="AD470" s="221"/>
      <c r="AE470" s="221"/>
      <c r="AF470" s="221"/>
      <c r="AG470" s="221"/>
      <c r="AH470" s="221"/>
      <c r="AI470" s="221"/>
      <c r="AJ470" s="221"/>
      <c r="AK470" s="221"/>
      <c r="AL470" s="221"/>
      <c r="AM470" s="221"/>
      <c r="AN470" s="221"/>
      <c r="AO470" s="221"/>
      <c r="AP470" s="221"/>
      <c r="AQ470" s="221"/>
      <c r="AR470" s="221"/>
      <c r="AS470" s="221"/>
      <c r="AT470" s="221"/>
      <c r="AU470" s="221"/>
      <c r="AV470" s="221"/>
      <c r="AW470" s="221"/>
    </row>
    <row r="471" spans="3:49" x14ac:dyDescent="0.25">
      <c r="C471" s="214"/>
      <c r="D471" s="36"/>
      <c r="E471" s="36"/>
      <c r="F471" s="214"/>
      <c r="G471" s="206"/>
      <c r="H471" s="206"/>
      <c r="I471" s="206"/>
      <c r="J471" s="221"/>
      <c r="K471" s="222"/>
      <c r="L471" s="221"/>
      <c r="M471" s="222"/>
      <c r="N471" s="221"/>
      <c r="O471" s="221"/>
      <c r="P471" s="221"/>
      <c r="Q471" s="221"/>
      <c r="R471" s="221"/>
      <c r="S471" s="221"/>
      <c r="T471" s="221"/>
      <c r="U471" s="221"/>
      <c r="V471" s="221"/>
      <c r="W471" s="221"/>
      <c r="X471" s="221"/>
      <c r="Y471" s="221"/>
      <c r="Z471" s="221"/>
      <c r="AA471" s="221"/>
      <c r="AB471" s="221"/>
      <c r="AC471" s="221"/>
      <c r="AD471" s="221"/>
      <c r="AE471" s="221"/>
      <c r="AF471" s="221"/>
      <c r="AG471" s="221"/>
      <c r="AH471" s="221"/>
      <c r="AI471" s="221"/>
      <c r="AJ471" s="221"/>
      <c r="AK471" s="221"/>
      <c r="AL471" s="221"/>
      <c r="AM471" s="221"/>
      <c r="AN471" s="221"/>
      <c r="AO471" s="221"/>
      <c r="AP471" s="221"/>
      <c r="AQ471" s="221"/>
      <c r="AR471" s="221"/>
      <c r="AS471" s="221"/>
      <c r="AT471" s="221"/>
      <c r="AU471" s="221"/>
      <c r="AV471" s="221"/>
      <c r="AW471" s="221"/>
    </row>
    <row r="472" spans="3:49" x14ac:dyDescent="0.25">
      <c r="C472" s="214"/>
      <c r="D472" s="36"/>
      <c r="E472" s="36"/>
      <c r="F472" s="36"/>
      <c r="G472" s="206"/>
      <c r="H472" s="206"/>
      <c r="I472" s="206"/>
      <c r="J472" s="221"/>
      <c r="K472" s="222"/>
      <c r="L472" s="221"/>
      <c r="M472" s="222"/>
      <c r="N472" s="221"/>
      <c r="O472" s="221"/>
      <c r="P472" s="221"/>
      <c r="Q472" s="221"/>
      <c r="R472" s="221"/>
      <c r="S472" s="221"/>
      <c r="T472" s="221"/>
      <c r="U472" s="221"/>
      <c r="V472" s="221"/>
      <c r="W472" s="221"/>
      <c r="X472" s="221"/>
      <c r="Y472" s="221"/>
      <c r="Z472" s="221"/>
      <c r="AA472" s="221"/>
      <c r="AB472" s="221"/>
      <c r="AC472" s="221"/>
      <c r="AD472" s="221"/>
      <c r="AE472" s="221"/>
      <c r="AF472" s="221"/>
      <c r="AG472" s="221"/>
      <c r="AH472" s="221"/>
      <c r="AI472" s="221"/>
      <c r="AJ472" s="221"/>
      <c r="AK472" s="221"/>
      <c r="AL472" s="221"/>
      <c r="AM472" s="221"/>
      <c r="AN472" s="221"/>
      <c r="AO472" s="221"/>
      <c r="AP472" s="221"/>
      <c r="AQ472" s="221"/>
      <c r="AR472" s="221"/>
      <c r="AS472" s="221"/>
      <c r="AT472" s="221"/>
      <c r="AU472" s="221"/>
      <c r="AV472" s="221"/>
      <c r="AW472" s="221"/>
    </row>
    <row r="473" spans="3:49" x14ac:dyDescent="0.25">
      <c r="C473" s="214"/>
      <c r="D473" s="36"/>
      <c r="E473" s="36"/>
      <c r="F473" s="214"/>
      <c r="G473" s="206"/>
      <c r="H473" s="206"/>
      <c r="I473" s="206"/>
      <c r="J473" s="221"/>
      <c r="K473" s="222"/>
      <c r="L473" s="221"/>
      <c r="M473" s="222"/>
      <c r="N473" s="221"/>
      <c r="O473" s="221"/>
      <c r="P473" s="221"/>
      <c r="Q473" s="221"/>
      <c r="R473" s="221"/>
      <c r="S473" s="221"/>
      <c r="T473" s="221"/>
      <c r="U473" s="221"/>
      <c r="V473" s="221"/>
      <c r="W473" s="221"/>
      <c r="X473" s="221"/>
      <c r="Y473" s="221"/>
      <c r="Z473" s="221"/>
      <c r="AA473" s="221"/>
      <c r="AB473" s="221"/>
      <c r="AC473" s="221"/>
      <c r="AD473" s="221"/>
      <c r="AE473" s="221"/>
      <c r="AF473" s="221"/>
      <c r="AG473" s="221"/>
      <c r="AH473" s="221"/>
      <c r="AI473" s="221"/>
      <c r="AJ473" s="221"/>
      <c r="AK473" s="221"/>
      <c r="AL473" s="221"/>
      <c r="AM473" s="221"/>
      <c r="AN473" s="221"/>
      <c r="AO473" s="221"/>
      <c r="AP473" s="221"/>
      <c r="AQ473" s="221"/>
      <c r="AR473" s="221"/>
      <c r="AS473" s="221"/>
      <c r="AT473" s="221"/>
      <c r="AU473" s="221"/>
      <c r="AV473" s="221"/>
      <c r="AW473" s="221"/>
    </row>
    <row r="474" spans="3:49" x14ac:dyDescent="0.25">
      <c r="C474" s="214"/>
      <c r="D474" s="36"/>
      <c r="E474" s="36"/>
      <c r="F474" s="214"/>
      <c r="G474" s="206"/>
      <c r="H474" s="206"/>
      <c r="I474" s="206"/>
      <c r="J474" s="221"/>
      <c r="K474" s="222"/>
      <c r="L474" s="221"/>
      <c r="M474" s="222"/>
      <c r="N474" s="221"/>
      <c r="O474" s="221"/>
      <c r="P474" s="221"/>
      <c r="Q474" s="221"/>
      <c r="R474" s="221"/>
      <c r="S474" s="221"/>
      <c r="T474" s="221"/>
      <c r="U474" s="221"/>
      <c r="V474" s="221"/>
      <c r="W474" s="221"/>
      <c r="X474" s="221"/>
      <c r="Y474" s="221"/>
      <c r="Z474" s="221"/>
      <c r="AA474" s="221"/>
      <c r="AB474" s="221"/>
      <c r="AC474" s="221"/>
      <c r="AD474" s="221"/>
      <c r="AE474" s="221"/>
      <c r="AF474" s="221"/>
      <c r="AG474" s="221"/>
      <c r="AH474" s="221"/>
      <c r="AI474" s="221"/>
      <c r="AJ474" s="221"/>
      <c r="AK474" s="221"/>
      <c r="AL474" s="221"/>
      <c r="AM474" s="221"/>
      <c r="AN474" s="221"/>
      <c r="AO474" s="221"/>
      <c r="AP474" s="221"/>
      <c r="AQ474" s="221"/>
      <c r="AR474" s="221"/>
      <c r="AS474" s="221"/>
      <c r="AT474" s="221"/>
      <c r="AU474" s="221"/>
      <c r="AV474" s="221"/>
      <c r="AW474" s="221"/>
    </row>
    <row r="475" spans="3:49" x14ac:dyDescent="0.25">
      <c r="C475" s="214"/>
      <c r="D475" s="36"/>
      <c r="E475" s="36"/>
      <c r="F475" s="36"/>
      <c r="G475" s="206"/>
      <c r="H475" s="206"/>
      <c r="I475" s="206"/>
      <c r="J475" s="221"/>
      <c r="K475" s="222"/>
      <c r="L475" s="221"/>
      <c r="M475" s="222"/>
      <c r="N475" s="221"/>
      <c r="O475" s="221"/>
      <c r="P475" s="221"/>
      <c r="Q475" s="221"/>
      <c r="R475" s="221"/>
      <c r="S475" s="221"/>
      <c r="T475" s="221"/>
      <c r="U475" s="221"/>
      <c r="V475" s="221"/>
      <c r="W475" s="221"/>
      <c r="X475" s="221"/>
      <c r="Y475" s="221"/>
      <c r="Z475" s="221"/>
      <c r="AA475" s="221"/>
      <c r="AB475" s="221"/>
      <c r="AC475" s="221"/>
      <c r="AD475" s="221"/>
      <c r="AE475" s="221"/>
      <c r="AF475" s="221"/>
      <c r="AG475" s="221"/>
      <c r="AH475" s="221"/>
      <c r="AI475" s="221"/>
      <c r="AJ475" s="221"/>
      <c r="AK475" s="221"/>
      <c r="AL475" s="221"/>
      <c r="AM475" s="221"/>
      <c r="AN475" s="221"/>
      <c r="AO475" s="221"/>
      <c r="AP475" s="221"/>
      <c r="AQ475" s="221"/>
      <c r="AR475" s="221"/>
      <c r="AS475" s="221"/>
      <c r="AT475" s="221"/>
      <c r="AU475" s="221"/>
      <c r="AV475" s="221"/>
      <c r="AW475" s="221"/>
    </row>
    <row r="476" spans="3:49" x14ac:dyDescent="0.25">
      <c r="C476" s="214"/>
      <c r="D476" s="36"/>
      <c r="E476" s="36"/>
      <c r="F476" s="214"/>
      <c r="G476" s="206"/>
      <c r="H476" s="206"/>
      <c r="I476" s="206"/>
      <c r="J476" s="221"/>
      <c r="K476" s="222"/>
      <c r="L476" s="221"/>
      <c r="M476" s="222"/>
      <c r="N476" s="221"/>
      <c r="O476" s="221"/>
      <c r="P476" s="221"/>
      <c r="Q476" s="221"/>
      <c r="R476" s="221"/>
      <c r="S476" s="221"/>
      <c r="T476" s="221"/>
      <c r="U476" s="221"/>
      <c r="V476" s="221"/>
      <c r="W476" s="221"/>
      <c r="X476" s="221"/>
      <c r="Y476" s="221"/>
      <c r="Z476" s="221"/>
      <c r="AA476" s="221"/>
      <c r="AB476" s="221"/>
      <c r="AC476" s="221"/>
      <c r="AD476" s="221"/>
      <c r="AE476" s="221"/>
      <c r="AF476" s="221"/>
      <c r="AG476" s="221"/>
      <c r="AH476" s="221"/>
      <c r="AI476" s="221"/>
      <c r="AJ476" s="221"/>
      <c r="AK476" s="221"/>
      <c r="AL476" s="221"/>
      <c r="AM476" s="221"/>
      <c r="AN476" s="221"/>
      <c r="AO476" s="221"/>
      <c r="AP476" s="221"/>
      <c r="AQ476" s="221"/>
      <c r="AR476" s="221"/>
      <c r="AS476" s="221"/>
      <c r="AT476" s="221"/>
      <c r="AU476" s="221"/>
      <c r="AV476" s="221"/>
      <c r="AW476" s="221"/>
    </row>
    <row r="477" spans="3:49" x14ac:dyDescent="0.25">
      <c r="C477" s="214"/>
      <c r="D477" s="36"/>
      <c r="E477" s="36"/>
      <c r="F477" s="214"/>
      <c r="G477" s="206"/>
      <c r="H477" s="206"/>
      <c r="I477" s="206"/>
      <c r="J477" s="221"/>
      <c r="K477" s="222"/>
      <c r="L477" s="221"/>
      <c r="M477" s="222"/>
      <c r="N477" s="221"/>
      <c r="O477" s="221"/>
      <c r="P477" s="221"/>
      <c r="Q477" s="221"/>
      <c r="R477" s="221"/>
      <c r="S477" s="221"/>
      <c r="T477" s="221"/>
      <c r="U477" s="221"/>
      <c r="V477" s="221"/>
      <c r="W477" s="221"/>
      <c r="X477" s="221"/>
      <c r="Y477" s="221"/>
      <c r="Z477" s="221"/>
      <c r="AA477" s="221"/>
      <c r="AB477" s="221"/>
      <c r="AC477" s="221"/>
      <c r="AD477" s="221"/>
      <c r="AE477" s="221"/>
      <c r="AF477" s="221"/>
      <c r="AG477" s="221"/>
      <c r="AH477" s="221"/>
      <c r="AI477" s="221"/>
      <c r="AJ477" s="221"/>
      <c r="AK477" s="221"/>
      <c r="AL477" s="221"/>
      <c r="AM477" s="221"/>
      <c r="AN477" s="221"/>
      <c r="AO477" s="221"/>
      <c r="AP477" s="221"/>
      <c r="AQ477" s="221"/>
      <c r="AR477" s="221"/>
      <c r="AS477" s="221"/>
      <c r="AT477" s="221"/>
      <c r="AU477" s="221"/>
      <c r="AV477" s="221"/>
      <c r="AW477" s="221"/>
    </row>
    <row r="478" spans="3:49" x14ac:dyDescent="0.25">
      <c r="C478" s="214"/>
      <c r="D478" s="36"/>
      <c r="E478" s="36"/>
      <c r="F478" s="36"/>
      <c r="G478" s="206"/>
      <c r="H478" s="206"/>
      <c r="I478" s="206"/>
      <c r="J478" s="221"/>
      <c r="K478" s="222"/>
      <c r="L478" s="221"/>
      <c r="M478" s="222"/>
      <c r="N478" s="221"/>
      <c r="O478" s="221"/>
      <c r="P478" s="221"/>
      <c r="Q478" s="221"/>
      <c r="R478" s="221"/>
      <c r="S478" s="221"/>
      <c r="T478" s="221"/>
      <c r="U478" s="221"/>
      <c r="V478" s="221"/>
      <c r="W478" s="221"/>
      <c r="X478" s="221"/>
      <c r="Y478" s="221"/>
      <c r="Z478" s="221"/>
      <c r="AA478" s="221"/>
      <c r="AB478" s="221"/>
      <c r="AC478" s="221"/>
      <c r="AD478" s="221"/>
      <c r="AE478" s="221"/>
      <c r="AF478" s="221"/>
      <c r="AG478" s="221"/>
      <c r="AH478" s="221"/>
      <c r="AI478" s="221"/>
      <c r="AJ478" s="221"/>
      <c r="AK478" s="221"/>
      <c r="AL478" s="221"/>
      <c r="AM478" s="221"/>
      <c r="AN478" s="221"/>
      <c r="AO478" s="221"/>
      <c r="AP478" s="221"/>
      <c r="AQ478" s="221"/>
      <c r="AR478" s="221"/>
      <c r="AS478" s="221"/>
      <c r="AT478" s="221"/>
      <c r="AU478" s="221"/>
      <c r="AV478" s="221"/>
      <c r="AW478" s="221"/>
    </row>
    <row r="479" spans="3:49" x14ac:dyDescent="0.25">
      <c r="C479" s="214"/>
      <c r="D479" s="36"/>
      <c r="E479" s="36"/>
      <c r="F479" s="214"/>
      <c r="G479" s="206"/>
      <c r="H479" s="206"/>
      <c r="I479" s="206"/>
      <c r="J479" s="221"/>
      <c r="K479" s="222"/>
      <c r="L479" s="221"/>
      <c r="M479" s="222"/>
      <c r="N479" s="221"/>
      <c r="O479" s="221"/>
      <c r="P479" s="221"/>
      <c r="Q479" s="221"/>
      <c r="R479" s="221"/>
      <c r="S479" s="221"/>
      <c r="T479" s="221"/>
      <c r="U479" s="221"/>
      <c r="V479" s="221"/>
      <c r="W479" s="221"/>
      <c r="X479" s="221"/>
      <c r="Y479" s="221"/>
      <c r="Z479" s="221"/>
      <c r="AA479" s="221"/>
      <c r="AB479" s="221"/>
      <c r="AC479" s="221"/>
      <c r="AD479" s="221"/>
      <c r="AE479" s="221"/>
      <c r="AF479" s="221"/>
      <c r="AG479" s="221"/>
      <c r="AH479" s="221"/>
      <c r="AI479" s="221"/>
      <c r="AJ479" s="221"/>
      <c r="AK479" s="221"/>
      <c r="AL479" s="221"/>
      <c r="AM479" s="221"/>
      <c r="AN479" s="221"/>
      <c r="AO479" s="221"/>
      <c r="AP479" s="221"/>
      <c r="AQ479" s="221"/>
      <c r="AR479" s="221"/>
      <c r="AS479" s="221"/>
      <c r="AT479" s="221"/>
      <c r="AU479" s="221"/>
      <c r="AV479" s="221"/>
      <c r="AW479" s="221"/>
    </row>
    <row r="480" spans="3:49" x14ac:dyDescent="0.25">
      <c r="C480" s="214"/>
      <c r="D480" s="36"/>
      <c r="E480" s="36"/>
      <c r="F480" s="214"/>
      <c r="G480" s="206"/>
      <c r="H480" s="206"/>
      <c r="I480" s="206"/>
      <c r="J480" s="221"/>
      <c r="K480" s="222"/>
      <c r="L480" s="221"/>
      <c r="M480" s="222"/>
      <c r="N480" s="221"/>
      <c r="O480" s="221"/>
      <c r="P480" s="221"/>
      <c r="Q480" s="221"/>
      <c r="R480" s="221"/>
      <c r="S480" s="221"/>
      <c r="T480" s="221"/>
      <c r="U480" s="221"/>
      <c r="V480" s="221"/>
      <c r="W480" s="221"/>
      <c r="X480" s="221"/>
      <c r="Y480" s="221"/>
      <c r="Z480" s="221"/>
      <c r="AA480" s="221"/>
      <c r="AB480" s="221"/>
      <c r="AC480" s="221"/>
      <c r="AD480" s="221"/>
      <c r="AE480" s="221"/>
      <c r="AF480" s="221"/>
      <c r="AG480" s="221"/>
      <c r="AH480" s="221"/>
      <c r="AI480" s="221"/>
      <c r="AJ480" s="221"/>
      <c r="AK480" s="221"/>
      <c r="AL480" s="221"/>
      <c r="AM480" s="221"/>
      <c r="AN480" s="221"/>
      <c r="AO480" s="221"/>
      <c r="AP480" s="221"/>
      <c r="AQ480" s="221"/>
      <c r="AR480" s="221"/>
      <c r="AS480" s="221"/>
      <c r="AT480" s="221"/>
      <c r="AU480" s="221"/>
      <c r="AV480" s="221"/>
      <c r="AW480" s="221"/>
    </row>
    <row r="481" spans="3:49" x14ac:dyDescent="0.25">
      <c r="C481" s="214"/>
      <c r="D481" s="36"/>
      <c r="E481" s="36"/>
      <c r="F481" s="36"/>
      <c r="G481" s="206"/>
      <c r="H481" s="206"/>
      <c r="I481" s="206"/>
      <c r="J481" s="221"/>
      <c r="K481" s="222"/>
      <c r="L481" s="221"/>
      <c r="M481" s="222"/>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21"/>
      <c r="AW481" s="221"/>
    </row>
    <row r="482" spans="3:49" x14ac:dyDescent="0.25">
      <c r="C482" s="214"/>
      <c r="D482" s="36"/>
      <c r="E482" s="36"/>
      <c r="F482" s="214"/>
      <c r="G482" s="206"/>
      <c r="H482" s="206"/>
      <c r="I482" s="206"/>
      <c r="J482" s="221"/>
      <c r="K482" s="222"/>
      <c r="L482" s="221"/>
      <c r="M482" s="222"/>
      <c r="N482" s="221"/>
      <c r="O482" s="221"/>
      <c r="P482" s="221"/>
      <c r="Q482" s="221"/>
      <c r="R482" s="221"/>
      <c r="S482" s="221"/>
      <c r="T482" s="221"/>
      <c r="U482" s="221"/>
      <c r="V482" s="221"/>
      <c r="W482" s="221"/>
      <c r="X482" s="221"/>
      <c r="Y482" s="221"/>
      <c r="Z482" s="221"/>
      <c r="AA482" s="221"/>
      <c r="AB482" s="221"/>
      <c r="AC482" s="221"/>
      <c r="AD482" s="221"/>
      <c r="AE482" s="221"/>
      <c r="AF482" s="221"/>
      <c r="AG482" s="221"/>
      <c r="AH482" s="221"/>
      <c r="AI482" s="221"/>
      <c r="AJ482" s="221"/>
      <c r="AK482" s="221"/>
      <c r="AL482" s="221"/>
      <c r="AM482" s="221"/>
      <c r="AN482" s="221"/>
      <c r="AO482" s="221"/>
      <c r="AP482" s="221"/>
      <c r="AQ482" s="221"/>
      <c r="AR482" s="221"/>
      <c r="AS482" s="221"/>
      <c r="AT482" s="221"/>
      <c r="AU482" s="221"/>
      <c r="AV482" s="221"/>
      <c r="AW482" s="221"/>
    </row>
    <row r="483" spans="3:49" x14ac:dyDescent="0.25">
      <c r="C483" s="214"/>
      <c r="D483" s="36"/>
      <c r="E483" s="36"/>
      <c r="F483" s="214"/>
      <c r="G483" s="206"/>
      <c r="H483" s="206"/>
      <c r="I483" s="206"/>
      <c r="J483" s="221"/>
      <c r="K483" s="222"/>
      <c r="L483" s="221"/>
      <c r="M483" s="222"/>
      <c r="N483" s="221"/>
      <c r="O483" s="221"/>
      <c r="P483" s="221"/>
      <c r="Q483" s="221"/>
      <c r="R483" s="221"/>
      <c r="S483" s="221"/>
      <c r="T483" s="221"/>
      <c r="U483" s="221"/>
      <c r="V483" s="221"/>
      <c r="W483" s="221"/>
      <c r="X483" s="221"/>
      <c r="Y483" s="221"/>
      <c r="Z483" s="221"/>
      <c r="AA483" s="221"/>
      <c r="AB483" s="221"/>
      <c r="AC483" s="221"/>
      <c r="AD483" s="221"/>
      <c r="AE483" s="221"/>
      <c r="AF483" s="221"/>
      <c r="AG483" s="221"/>
      <c r="AH483" s="221"/>
      <c r="AI483" s="221"/>
      <c r="AJ483" s="221"/>
      <c r="AK483" s="221"/>
      <c r="AL483" s="221"/>
      <c r="AM483" s="221"/>
      <c r="AN483" s="221"/>
      <c r="AO483" s="221"/>
      <c r="AP483" s="221"/>
      <c r="AQ483" s="221"/>
      <c r="AR483" s="221"/>
      <c r="AS483" s="221"/>
      <c r="AT483" s="221"/>
      <c r="AU483" s="221"/>
      <c r="AV483" s="221"/>
      <c r="AW483" s="221"/>
    </row>
    <row r="484" spans="3:49" x14ac:dyDescent="0.25">
      <c r="C484" s="214"/>
      <c r="D484" s="36"/>
      <c r="E484" s="36"/>
      <c r="F484" s="36"/>
      <c r="G484" s="206"/>
      <c r="H484" s="206"/>
      <c r="I484" s="206"/>
      <c r="J484" s="221"/>
      <c r="K484" s="222"/>
      <c r="L484" s="221"/>
      <c r="M484" s="222"/>
      <c r="N484" s="221"/>
      <c r="O484" s="221"/>
      <c r="P484" s="221"/>
      <c r="Q484" s="221"/>
      <c r="R484" s="221"/>
      <c r="S484" s="221"/>
      <c r="T484" s="221"/>
      <c r="U484" s="221"/>
      <c r="V484" s="221"/>
      <c r="W484" s="221"/>
      <c r="X484" s="221"/>
      <c r="Y484" s="221"/>
      <c r="Z484" s="221"/>
      <c r="AA484" s="221"/>
      <c r="AB484" s="221"/>
      <c r="AC484" s="221"/>
      <c r="AD484" s="221"/>
      <c r="AE484" s="221"/>
      <c r="AF484" s="221"/>
      <c r="AG484" s="221"/>
      <c r="AH484" s="221"/>
      <c r="AI484" s="221"/>
      <c r="AJ484" s="221"/>
      <c r="AK484" s="221"/>
      <c r="AL484" s="221"/>
      <c r="AM484" s="221"/>
      <c r="AN484" s="221"/>
      <c r="AO484" s="221"/>
      <c r="AP484" s="221"/>
      <c r="AQ484" s="221"/>
      <c r="AR484" s="221"/>
      <c r="AS484" s="221"/>
      <c r="AT484" s="221"/>
      <c r="AU484" s="221"/>
      <c r="AV484" s="221"/>
      <c r="AW484" s="221"/>
    </row>
    <row r="485" spans="3:49" x14ac:dyDescent="0.25">
      <c r="C485" s="214"/>
      <c r="D485" s="36"/>
      <c r="E485" s="36"/>
      <c r="F485" s="214"/>
      <c r="G485" s="206"/>
      <c r="H485" s="206"/>
      <c r="I485" s="206"/>
      <c r="J485" s="221"/>
      <c r="K485" s="222"/>
      <c r="L485" s="221"/>
      <c r="M485" s="222"/>
      <c r="N485" s="221"/>
      <c r="O485" s="221"/>
      <c r="P485" s="221"/>
      <c r="Q485" s="221"/>
      <c r="R485" s="221"/>
      <c r="S485" s="221"/>
      <c r="T485" s="221"/>
      <c r="U485" s="221"/>
      <c r="V485" s="221"/>
      <c r="W485" s="221"/>
      <c r="X485" s="221"/>
      <c r="Y485" s="221"/>
      <c r="Z485" s="221"/>
      <c r="AA485" s="221"/>
      <c r="AB485" s="221"/>
      <c r="AC485" s="221"/>
      <c r="AD485" s="221"/>
      <c r="AE485" s="221"/>
      <c r="AF485" s="221"/>
      <c r="AG485" s="221"/>
      <c r="AH485" s="221"/>
      <c r="AI485" s="221"/>
      <c r="AJ485" s="221"/>
      <c r="AK485" s="221"/>
      <c r="AL485" s="221"/>
      <c r="AM485" s="221"/>
      <c r="AN485" s="221"/>
      <c r="AO485" s="221"/>
      <c r="AP485" s="221"/>
      <c r="AQ485" s="221"/>
      <c r="AR485" s="221"/>
      <c r="AS485" s="221"/>
      <c r="AT485" s="221"/>
      <c r="AU485" s="221"/>
      <c r="AV485" s="221"/>
      <c r="AW485" s="221"/>
    </row>
    <row r="486" spans="3:49" x14ac:dyDescent="0.25">
      <c r="C486" s="214"/>
      <c r="D486" s="36"/>
      <c r="E486" s="36"/>
      <c r="F486" s="214"/>
      <c r="G486" s="206"/>
      <c r="H486" s="206"/>
      <c r="I486" s="206"/>
      <c r="J486" s="221"/>
      <c r="K486" s="222"/>
      <c r="L486" s="221"/>
      <c r="M486" s="222"/>
      <c r="N486" s="221"/>
      <c r="O486" s="221"/>
      <c r="P486" s="221"/>
      <c r="Q486" s="221"/>
      <c r="R486" s="221"/>
      <c r="S486" s="221"/>
      <c r="T486" s="221"/>
      <c r="U486" s="221"/>
      <c r="V486" s="221"/>
      <c r="W486" s="221"/>
      <c r="X486" s="221"/>
      <c r="Y486" s="221"/>
      <c r="Z486" s="221"/>
      <c r="AA486" s="221"/>
      <c r="AB486" s="221"/>
      <c r="AC486" s="221"/>
      <c r="AD486" s="221"/>
      <c r="AE486" s="221"/>
      <c r="AF486" s="221"/>
      <c r="AG486" s="221"/>
      <c r="AH486" s="221"/>
      <c r="AI486" s="221"/>
      <c r="AJ486" s="221"/>
      <c r="AK486" s="221"/>
      <c r="AL486" s="221"/>
      <c r="AM486" s="221"/>
      <c r="AN486" s="221"/>
      <c r="AO486" s="221"/>
      <c r="AP486" s="221"/>
      <c r="AQ486" s="221"/>
      <c r="AR486" s="221"/>
      <c r="AS486" s="221"/>
      <c r="AT486" s="221"/>
      <c r="AU486" s="221"/>
      <c r="AV486" s="221"/>
      <c r="AW486" s="221"/>
    </row>
    <row r="487" spans="3:49" x14ac:dyDescent="0.25">
      <c r="C487" s="214"/>
      <c r="D487" s="36"/>
      <c r="E487" s="36"/>
      <c r="F487" s="36"/>
      <c r="G487" s="206"/>
      <c r="H487" s="206"/>
      <c r="I487" s="206"/>
      <c r="J487" s="221"/>
      <c r="K487" s="222"/>
      <c r="L487" s="221"/>
      <c r="M487" s="222"/>
      <c r="N487" s="221"/>
      <c r="O487" s="221"/>
      <c r="P487" s="221"/>
      <c r="Q487" s="221"/>
      <c r="R487" s="221"/>
      <c r="S487" s="221"/>
      <c r="T487" s="221"/>
      <c r="U487" s="221"/>
      <c r="V487" s="221"/>
      <c r="W487" s="221"/>
      <c r="X487" s="221"/>
      <c r="Y487" s="221"/>
      <c r="Z487" s="221"/>
      <c r="AA487" s="221"/>
      <c r="AB487" s="221"/>
      <c r="AC487" s="221"/>
      <c r="AD487" s="221"/>
      <c r="AE487" s="221"/>
      <c r="AF487" s="221"/>
      <c r="AG487" s="221"/>
      <c r="AH487" s="221"/>
      <c r="AI487" s="221"/>
      <c r="AJ487" s="221"/>
      <c r="AK487" s="221"/>
      <c r="AL487" s="221"/>
      <c r="AM487" s="221"/>
      <c r="AN487" s="221"/>
      <c r="AO487" s="221"/>
      <c r="AP487" s="221"/>
      <c r="AQ487" s="221"/>
      <c r="AR487" s="221"/>
      <c r="AS487" s="221"/>
      <c r="AT487" s="221"/>
      <c r="AU487" s="221"/>
      <c r="AV487" s="221"/>
      <c r="AW487" s="221"/>
    </row>
    <row r="488" spans="3:49" x14ac:dyDescent="0.25">
      <c r="C488" s="214"/>
      <c r="D488" s="36"/>
      <c r="E488" s="36"/>
      <c r="F488" s="214"/>
      <c r="G488" s="206"/>
      <c r="H488" s="206"/>
      <c r="I488" s="206"/>
      <c r="J488" s="221"/>
      <c r="K488" s="222"/>
      <c r="L488" s="221"/>
      <c r="M488" s="222"/>
      <c r="N488" s="221"/>
      <c r="O488" s="221"/>
      <c r="P488" s="221"/>
      <c r="Q488" s="221"/>
      <c r="R488" s="221"/>
      <c r="S488" s="221"/>
      <c r="T488" s="221"/>
      <c r="U488" s="221"/>
      <c r="V488" s="221"/>
      <c r="W488" s="221"/>
      <c r="X488" s="221"/>
      <c r="Y488" s="221"/>
      <c r="Z488" s="221"/>
      <c r="AA488" s="221"/>
      <c r="AB488" s="221"/>
      <c r="AC488" s="221"/>
      <c r="AD488" s="221"/>
      <c r="AE488" s="221"/>
      <c r="AF488" s="221"/>
      <c r="AG488" s="221"/>
      <c r="AH488" s="221"/>
      <c r="AI488" s="221"/>
      <c r="AJ488" s="221"/>
      <c r="AK488" s="221"/>
      <c r="AL488" s="221"/>
      <c r="AM488" s="221"/>
      <c r="AN488" s="221"/>
      <c r="AO488" s="221"/>
      <c r="AP488" s="221"/>
      <c r="AQ488" s="221"/>
      <c r="AR488" s="221"/>
      <c r="AS488" s="221"/>
      <c r="AT488" s="221"/>
      <c r="AU488" s="221"/>
      <c r="AV488" s="221"/>
      <c r="AW488" s="221"/>
    </row>
    <row r="489" spans="3:49" x14ac:dyDescent="0.25">
      <c r="C489" s="214"/>
      <c r="D489" s="36"/>
      <c r="E489" s="36"/>
      <c r="F489" s="214"/>
      <c r="G489" s="206"/>
      <c r="H489" s="206"/>
      <c r="I489" s="206"/>
      <c r="J489" s="221"/>
      <c r="K489" s="222"/>
      <c r="L489" s="221"/>
      <c r="M489" s="222"/>
      <c r="N489" s="221"/>
      <c r="O489" s="221"/>
      <c r="P489" s="221"/>
      <c r="Q489" s="221"/>
      <c r="R489" s="221"/>
      <c r="S489" s="221"/>
      <c r="T489" s="221"/>
      <c r="U489" s="221"/>
      <c r="V489" s="221"/>
      <c r="W489" s="221"/>
      <c r="X489" s="221"/>
      <c r="Y489" s="221"/>
      <c r="Z489" s="221"/>
      <c r="AA489" s="221"/>
      <c r="AB489" s="221"/>
      <c r="AC489" s="221"/>
      <c r="AD489" s="221"/>
      <c r="AE489" s="221"/>
      <c r="AF489" s="221"/>
      <c r="AG489" s="221"/>
      <c r="AH489" s="221"/>
      <c r="AI489" s="221"/>
      <c r="AJ489" s="221"/>
      <c r="AK489" s="221"/>
      <c r="AL489" s="221"/>
      <c r="AM489" s="221"/>
      <c r="AN489" s="221"/>
      <c r="AO489" s="221"/>
      <c r="AP489" s="221"/>
      <c r="AQ489" s="221"/>
      <c r="AR489" s="221"/>
      <c r="AS489" s="221"/>
      <c r="AT489" s="221"/>
      <c r="AU489" s="221"/>
      <c r="AV489" s="221"/>
      <c r="AW489" s="221"/>
    </row>
    <row r="490" spans="3:49" x14ac:dyDescent="0.25">
      <c r="C490" s="214"/>
      <c r="D490" s="36"/>
      <c r="E490" s="36"/>
      <c r="F490" s="36"/>
      <c r="G490" s="206"/>
      <c r="H490" s="206"/>
      <c r="I490" s="206"/>
      <c r="J490" s="221"/>
      <c r="K490" s="222"/>
      <c r="L490" s="221"/>
      <c r="M490" s="222"/>
      <c r="N490" s="221"/>
      <c r="O490" s="221"/>
      <c r="P490" s="221"/>
      <c r="Q490" s="221"/>
      <c r="R490" s="221"/>
      <c r="S490" s="221"/>
      <c r="T490" s="221"/>
      <c r="U490" s="221"/>
      <c r="V490" s="221"/>
      <c r="W490" s="221"/>
      <c r="X490" s="221"/>
      <c r="Y490" s="221"/>
      <c r="Z490" s="221"/>
      <c r="AA490" s="221"/>
      <c r="AB490" s="221"/>
      <c r="AC490" s="221"/>
      <c r="AD490" s="221"/>
      <c r="AE490" s="221"/>
      <c r="AF490" s="221"/>
      <c r="AG490" s="221"/>
      <c r="AH490" s="221"/>
      <c r="AI490" s="221"/>
      <c r="AJ490" s="221"/>
      <c r="AK490" s="221"/>
      <c r="AL490" s="221"/>
      <c r="AM490" s="221"/>
      <c r="AN490" s="221"/>
      <c r="AO490" s="221"/>
      <c r="AP490" s="221"/>
      <c r="AQ490" s="221"/>
      <c r="AR490" s="221"/>
      <c r="AS490" s="221"/>
      <c r="AT490" s="221"/>
      <c r="AU490" s="221"/>
      <c r="AV490" s="221"/>
      <c r="AW490" s="221"/>
    </row>
    <row r="491" spans="3:49" x14ac:dyDescent="0.25">
      <c r="C491" s="214"/>
      <c r="D491" s="36"/>
      <c r="E491" s="36"/>
      <c r="F491" s="214"/>
      <c r="G491" s="206"/>
      <c r="H491" s="206"/>
      <c r="I491" s="206"/>
      <c r="J491" s="221"/>
      <c r="K491" s="222"/>
      <c r="L491" s="221"/>
      <c r="M491" s="222"/>
      <c r="N491" s="221"/>
      <c r="O491" s="221"/>
      <c r="P491" s="221"/>
      <c r="Q491" s="221"/>
      <c r="R491" s="221"/>
      <c r="S491" s="221"/>
      <c r="T491" s="221"/>
      <c r="U491" s="221"/>
      <c r="V491" s="221"/>
      <c r="W491" s="221"/>
      <c r="X491" s="221"/>
      <c r="Y491" s="221"/>
      <c r="Z491" s="221"/>
      <c r="AA491" s="221"/>
      <c r="AB491" s="221"/>
      <c r="AC491" s="221"/>
      <c r="AD491" s="221"/>
      <c r="AE491" s="221"/>
      <c r="AF491" s="221"/>
      <c r="AG491" s="221"/>
      <c r="AH491" s="221"/>
      <c r="AI491" s="221"/>
      <c r="AJ491" s="221"/>
      <c r="AK491" s="221"/>
      <c r="AL491" s="221"/>
      <c r="AM491" s="221"/>
      <c r="AN491" s="221"/>
      <c r="AO491" s="221"/>
      <c r="AP491" s="221"/>
      <c r="AQ491" s="221"/>
      <c r="AR491" s="221"/>
      <c r="AS491" s="221"/>
      <c r="AT491" s="221"/>
      <c r="AU491" s="221"/>
      <c r="AV491" s="221"/>
      <c r="AW491" s="221"/>
    </row>
    <row r="492" spans="3:49" x14ac:dyDescent="0.25">
      <c r="C492" s="214"/>
      <c r="D492" s="36"/>
      <c r="E492" s="36"/>
      <c r="F492" s="214"/>
      <c r="G492" s="206"/>
      <c r="H492" s="206"/>
      <c r="I492" s="206"/>
      <c r="J492" s="221"/>
      <c r="K492" s="222"/>
      <c r="L492" s="221"/>
      <c r="M492" s="222"/>
      <c r="N492" s="221"/>
      <c r="O492" s="221"/>
      <c r="P492" s="221"/>
      <c r="Q492" s="221"/>
      <c r="R492" s="221"/>
      <c r="S492" s="221"/>
      <c r="T492" s="221"/>
      <c r="U492" s="221"/>
      <c r="V492" s="221"/>
      <c r="W492" s="221"/>
      <c r="X492" s="221"/>
      <c r="Y492" s="221"/>
      <c r="Z492" s="221"/>
      <c r="AA492" s="221"/>
      <c r="AB492" s="221"/>
      <c r="AC492" s="221"/>
      <c r="AD492" s="221"/>
      <c r="AE492" s="221"/>
      <c r="AF492" s="221"/>
      <c r="AG492" s="221"/>
      <c r="AH492" s="221"/>
      <c r="AI492" s="221"/>
      <c r="AJ492" s="221"/>
      <c r="AK492" s="221"/>
      <c r="AL492" s="221"/>
      <c r="AM492" s="221"/>
      <c r="AN492" s="221"/>
      <c r="AO492" s="221"/>
      <c r="AP492" s="221"/>
      <c r="AQ492" s="221"/>
      <c r="AR492" s="221"/>
      <c r="AS492" s="221"/>
      <c r="AT492" s="221"/>
      <c r="AU492" s="221"/>
      <c r="AV492" s="221"/>
      <c r="AW492" s="221"/>
    </row>
    <row r="493" spans="3:49" x14ac:dyDescent="0.25">
      <c r="C493" s="214"/>
      <c r="D493" s="36"/>
      <c r="E493" s="36"/>
      <c r="F493" s="36"/>
      <c r="G493" s="206"/>
      <c r="H493" s="206"/>
      <c r="I493" s="206"/>
      <c r="J493" s="221"/>
      <c r="K493" s="222"/>
      <c r="L493" s="221"/>
      <c r="M493" s="222"/>
      <c r="N493" s="221"/>
      <c r="O493" s="221"/>
      <c r="P493" s="221"/>
      <c r="Q493" s="221"/>
      <c r="R493" s="221"/>
      <c r="S493" s="221"/>
      <c r="T493" s="221"/>
      <c r="U493" s="221"/>
      <c r="V493" s="221"/>
      <c r="W493" s="221"/>
      <c r="X493" s="221"/>
      <c r="Y493" s="221"/>
      <c r="Z493" s="221"/>
      <c r="AA493" s="221"/>
      <c r="AB493" s="221"/>
      <c r="AC493" s="221"/>
      <c r="AD493" s="221"/>
      <c r="AE493" s="221"/>
      <c r="AF493" s="221"/>
      <c r="AG493" s="221"/>
      <c r="AH493" s="221"/>
      <c r="AI493" s="221"/>
      <c r="AJ493" s="221"/>
      <c r="AK493" s="221"/>
      <c r="AL493" s="221"/>
      <c r="AM493" s="221"/>
      <c r="AN493" s="221"/>
      <c r="AO493" s="221"/>
      <c r="AP493" s="221"/>
      <c r="AQ493" s="221"/>
      <c r="AR493" s="221"/>
      <c r="AS493" s="221"/>
      <c r="AT493" s="221"/>
      <c r="AU493" s="221"/>
      <c r="AV493" s="221"/>
      <c r="AW493" s="221"/>
    </row>
    <row r="494" spans="3:49" x14ac:dyDescent="0.25">
      <c r="C494" s="214"/>
      <c r="D494" s="36"/>
      <c r="E494" s="36"/>
      <c r="F494" s="214"/>
      <c r="G494" s="206"/>
      <c r="H494" s="206"/>
      <c r="I494" s="206"/>
      <c r="J494" s="221"/>
      <c r="K494" s="222"/>
      <c r="L494" s="221"/>
      <c r="M494" s="222"/>
      <c r="N494" s="221"/>
      <c r="O494" s="221"/>
      <c r="P494" s="221"/>
      <c r="Q494" s="221"/>
      <c r="R494" s="221"/>
      <c r="S494" s="221"/>
      <c r="T494" s="221"/>
      <c r="U494" s="221"/>
      <c r="V494" s="221"/>
      <c r="W494" s="221"/>
      <c r="X494" s="221"/>
      <c r="Y494" s="221"/>
      <c r="Z494" s="221"/>
      <c r="AA494" s="221"/>
      <c r="AB494" s="221"/>
      <c r="AC494" s="221"/>
      <c r="AD494" s="221"/>
      <c r="AE494" s="221"/>
      <c r="AF494" s="221"/>
      <c r="AG494" s="221"/>
      <c r="AH494" s="221"/>
      <c r="AI494" s="221"/>
      <c r="AJ494" s="221"/>
      <c r="AK494" s="221"/>
      <c r="AL494" s="221"/>
      <c r="AM494" s="221"/>
      <c r="AN494" s="221"/>
      <c r="AO494" s="221"/>
      <c r="AP494" s="221"/>
      <c r="AQ494" s="221"/>
      <c r="AR494" s="221"/>
      <c r="AS494" s="221"/>
      <c r="AT494" s="221"/>
      <c r="AU494" s="221"/>
      <c r="AV494" s="221"/>
      <c r="AW494" s="221"/>
    </row>
    <row r="495" spans="3:49" x14ac:dyDescent="0.25">
      <c r="C495" s="214"/>
      <c r="D495" s="36"/>
      <c r="E495" s="36"/>
      <c r="F495" s="214"/>
      <c r="G495" s="206"/>
      <c r="H495" s="206"/>
      <c r="I495" s="206"/>
      <c r="J495" s="221"/>
      <c r="K495" s="222"/>
      <c r="L495" s="221"/>
      <c r="M495" s="222"/>
      <c r="N495" s="221"/>
      <c r="O495" s="221"/>
      <c r="P495" s="221"/>
      <c r="Q495" s="221"/>
      <c r="R495" s="221"/>
      <c r="S495" s="221"/>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c r="AS495" s="221"/>
      <c r="AT495" s="221"/>
      <c r="AU495" s="221"/>
      <c r="AV495" s="221"/>
      <c r="AW495" s="221"/>
    </row>
    <row r="496" spans="3:49" x14ac:dyDescent="0.25">
      <c r="C496" s="214"/>
      <c r="D496" s="36"/>
      <c r="E496" s="36"/>
      <c r="F496" s="36"/>
      <c r="G496" s="206"/>
      <c r="H496" s="206"/>
      <c r="I496" s="206"/>
      <c r="J496" s="221"/>
      <c r="K496" s="222"/>
      <c r="L496" s="221"/>
      <c r="M496" s="222"/>
      <c r="N496" s="221"/>
      <c r="O496" s="221"/>
      <c r="P496" s="221"/>
      <c r="Q496" s="221"/>
      <c r="R496" s="221"/>
      <c r="S496" s="221"/>
      <c r="T496" s="221"/>
      <c r="U496" s="221"/>
      <c r="V496" s="221"/>
      <c r="W496" s="221"/>
      <c r="X496" s="221"/>
      <c r="Y496" s="221"/>
      <c r="Z496" s="221"/>
      <c r="AA496" s="221"/>
      <c r="AB496" s="221"/>
      <c r="AC496" s="221"/>
      <c r="AD496" s="221"/>
      <c r="AE496" s="221"/>
      <c r="AF496" s="221"/>
      <c r="AG496" s="221"/>
      <c r="AH496" s="221"/>
      <c r="AI496" s="221"/>
      <c r="AJ496" s="221"/>
      <c r="AK496" s="221"/>
      <c r="AL496" s="221"/>
      <c r="AM496" s="221"/>
      <c r="AN496" s="221"/>
      <c r="AO496" s="221"/>
      <c r="AP496" s="221"/>
      <c r="AQ496" s="221"/>
      <c r="AR496" s="221"/>
      <c r="AS496" s="221"/>
      <c r="AT496" s="221"/>
      <c r="AU496" s="221"/>
      <c r="AV496" s="221"/>
      <c r="AW496" s="221"/>
    </row>
    <row r="497" spans="3:49" x14ac:dyDescent="0.25">
      <c r="C497" s="214"/>
      <c r="D497" s="36"/>
      <c r="E497" s="36"/>
      <c r="F497" s="214"/>
      <c r="G497" s="206"/>
      <c r="H497" s="206"/>
      <c r="I497" s="206"/>
      <c r="J497" s="221"/>
      <c r="K497" s="222"/>
      <c r="L497" s="221"/>
      <c r="M497" s="222"/>
      <c r="N497" s="221"/>
      <c r="O497" s="221"/>
      <c r="P497" s="221"/>
      <c r="Q497" s="221"/>
      <c r="R497" s="221"/>
      <c r="S497" s="221"/>
      <c r="T497" s="221"/>
      <c r="U497" s="221"/>
      <c r="V497" s="221"/>
      <c r="W497" s="221"/>
      <c r="X497" s="221"/>
      <c r="Y497" s="221"/>
      <c r="Z497" s="221"/>
      <c r="AA497" s="221"/>
      <c r="AB497" s="221"/>
      <c r="AC497" s="221"/>
      <c r="AD497" s="221"/>
      <c r="AE497" s="221"/>
      <c r="AF497" s="221"/>
      <c r="AG497" s="221"/>
      <c r="AH497" s="221"/>
      <c r="AI497" s="221"/>
      <c r="AJ497" s="221"/>
      <c r="AK497" s="221"/>
      <c r="AL497" s="221"/>
      <c r="AM497" s="221"/>
      <c r="AN497" s="221"/>
      <c r="AO497" s="221"/>
      <c r="AP497" s="221"/>
      <c r="AQ497" s="221"/>
      <c r="AR497" s="221"/>
      <c r="AS497" s="221"/>
      <c r="AT497" s="221"/>
      <c r="AU497" s="221"/>
      <c r="AV497" s="221"/>
      <c r="AW497" s="221"/>
    </row>
    <row r="498" spans="3:49" x14ac:dyDescent="0.25">
      <c r="C498" s="214"/>
      <c r="D498" s="36"/>
      <c r="E498" s="36"/>
      <c r="F498" s="214"/>
      <c r="G498" s="206"/>
      <c r="H498" s="206"/>
      <c r="I498" s="206"/>
      <c r="J498" s="221"/>
      <c r="K498" s="222"/>
      <c r="L498" s="221"/>
      <c r="M498" s="222"/>
      <c r="N498" s="221"/>
      <c r="O498" s="221"/>
      <c r="P498" s="221"/>
      <c r="Q498" s="221"/>
      <c r="R498" s="221"/>
      <c r="S498" s="221"/>
      <c r="T498" s="221"/>
      <c r="U498" s="221"/>
      <c r="V498" s="221"/>
      <c r="W498" s="221"/>
      <c r="X498" s="221"/>
      <c r="Y498" s="221"/>
      <c r="Z498" s="221"/>
      <c r="AA498" s="221"/>
      <c r="AB498" s="221"/>
      <c r="AC498" s="221"/>
      <c r="AD498" s="221"/>
      <c r="AE498" s="221"/>
      <c r="AF498" s="221"/>
      <c r="AG498" s="221"/>
      <c r="AH498" s="221"/>
      <c r="AI498" s="221"/>
      <c r="AJ498" s="221"/>
      <c r="AK498" s="221"/>
      <c r="AL498" s="221"/>
      <c r="AM498" s="221"/>
      <c r="AN498" s="221"/>
      <c r="AO498" s="221"/>
      <c r="AP498" s="221"/>
      <c r="AQ498" s="221"/>
      <c r="AR498" s="221"/>
      <c r="AS498" s="221"/>
      <c r="AT498" s="221"/>
      <c r="AU498" s="221"/>
      <c r="AV498" s="221"/>
      <c r="AW498" s="221"/>
    </row>
    <row r="499" spans="3:49" x14ac:dyDescent="0.25">
      <c r="C499" s="214"/>
      <c r="D499" s="36"/>
      <c r="E499" s="36"/>
      <c r="F499" s="36"/>
      <c r="G499" s="206"/>
      <c r="H499" s="206"/>
      <c r="I499" s="206"/>
      <c r="J499" s="221"/>
      <c r="K499" s="222"/>
      <c r="L499" s="221"/>
      <c r="M499" s="222"/>
      <c r="N499" s="221"/>
      <c r="O499" s="221"/>
      <c r="P499" s="221"/>
      <c r="Q499" s="221"/>
      <c r="R499" s="221"/>
      <c r="S499" s="221"/>
      <c r="T499" s="221"/>
      <c r="U499" s="221"/>
      <c r="V499" s="221"/>
      <c r="W499" s="221"/>
      <c r="X499" s="221"/>
      <c r="Y499" s="221"/>
      <c r="Z499" s="221"/>
      <c r="AA499" s="221"/>
      <c r="AB499" s="221"/>
      <c r="AC499" s="221"/>
      <c r="AD499" s="221"/>
      <c r="AE499" s="221"/>
      <c r="AF499" s="221"/>
      <c r="AG499" s="221"/>
      <c r="AH499" s="221"/>
      <c r="AI499" s="221"/>
      <c r="AJ499" s="221"/>
      <c r="AK499" s="221"/>
      <c r="AL499" s="221"/>
      <c r="AM499" s="221"/>
      <c r="AN499" s="221"/>
      <c r="AO499" s="221"/>
      <c r="AP499" s="221"/>
      <c r="AQ499" s="221"/>
      <c r="AR499" s="221"/>
      <c r="AS499" s="221"/>
      <c r="AT499" s="221"/>
      <c r="AU499" s="221"/>
      <c r="AV499" s="221"/>
      <c r="AW499" s="221"/>
    </row>
    <row r="500" spans="3:49" x14ac:dyDescent="0.25">
      <c r="C500" s="214"/>
      <c r="D500" s="36"/>
      <c r="E500" s="36"/>
      <c r="F500" s="214"/>
      <c r="G500" s="206"/>
      <c r="H500" s="206"/>
      <c r="I500" s="206"/>
      <c r="J500" s="221"/>
      <c r="K500" s="222"/>
      <c r="L500" s="221"/>
      <c r="M500" s="222"/>
      <c r="N500" s="221"/>
      <c r="O500" s="221"/>
      <c r="P500" s="221"/>
      <c r="Q500" s="221"/>
      <c r="R500" s="221"/>
      <c r="S500" s="221"/>
      <c r="T500" s="221"/>
      <c r="U500" s="221"/>
      <c r="V500" s="221"/>
      <c r="W500" s="221"/>
      <c r="X500" s="221"/>
      <c r="Y500" s="221"/>
      <c r="Z500" s="221"/>
      <c r="AA500" s="221"/>
      <c r="AB500" s="221"/>
      <c r="AC500" s="221"/>
      <c r="AD500" s="221"/>
      <c r="AE500" s="221"/>
      <c r="AF500" s="221"/>
      <c r="AG500" s="221"/>
      <c r="AH500" s="221"/>
      <c r="AI500" s="221"/>
      <c r="AJ500" s="221"/>
      <c r="AK500" s="221"/>
      <c r="AL500" s="221"/>
      <c r="AM500" s="221"/>
      <c r="AN500" s="221"/>
      <c r="AO500" s="221"/>
      <c r="AP500" s="221"/>
      <c r="AQ500" s="221"/>
      <c r="AR500" s="221"/>
      <c r="AS500" s="221"/>
      <c r="AT500" s="221"/>
      <c r="AU500" s="221"/>
      <c r="AV500" s="221"/>
      <c r="AW500" s="221"/>
    </row>
    <row r="501" spans="3:49" x14ac:dyDescent="0.25">
      <c r="C501" s="214"/>
      <c r="D501" s="36"/>
      <c r="E501" s="36"/>
      <c r="F501" s="214"/>
      <c r="G501" s="206"/>
      <c r="H501" s="206"/>
      <c r="I501" s="206"/>
      <c r="J501" s="221"/>
      <c r="K501" s="222"/>
      <c r="L501" s="221"/>
      <c r="M501" s="222"/>
      <c r="N501" s="221"/>
      <c r="O501" s="221"/>
      <c r="P501" s="221"/>
      <c r="Q501" s="221"/>
      <c r="R501" s="221"/>
      <c r="S501" s="221"/>
      <c r="T501" s="221"/>
      <c r="U501" s="221"/>
      <c r="V501" s="221"/>
      <c r="W501" s="221"/>
      <c r="X501" s="221"/>
      <c r="Y501" s="221"/>
      <c r="Z501" s="221"/>
      <c r="AA501" s="221"/>
      <c r="AB501" s="221"/>
      <c r="AC501" s="221"/>
      <c r="AD501" s="221"/>
      <c r="AE501" s="221"/>
      <c r="AF501" s="221"/>
      <c r="AG501" s="221"/>
      <c r="AH501" s="221"/>
      <c r="AI501" s="221"/>
      <c r="AJ501" s="221"/>
      <c r="AK501" s="221"/>
      <c r="AL501" s="221"/>
      <c r="AM501" s="221"/>
      <c r="AN501" s="221"/>
      <c r="AO501" s="221"/>
      <c r="AP501" s="221"/>
      <c r="AQ501" s="221"/>
      <c r="AR501" s="221"/>
      <c r="AS501" s="221"/>
      <c r="AT501" s="221"/>
      <c r="AU501" s="221"/>
      <c r="AV501" s="221"/>
      <c r="AW501" s="221"/>
    </row>
    <row r="502" spans="3:49" x14ac:dyDescent="0.25">
      <c r="C502" s="214"/>
      <c r="D502" s="36"/>
      <c r="E502" s="36"/>
      <c r="F502" s="36"/>
      <c r="G502" s="206"/>
      <c r="H502" s="206"/>
      <c r="I502" s="206"/>
      <c r="J502" s="221"/>
      <c r="K502" s="222"/>
      <c r="L502" s="221"/>
      <c r="M502" s="222"/>
      <c r="N502" s="221"/>
      <c r="O502" s="221"/>
      <c r="P502" s="221"/>
      <c r="Q502" s="221"/>
      <c r="R502" s="221"/>
      <c r="S502" s="221"/>
      <c r="T502" s="221"/>
      <c r="U502" s="221"/>
      <c r="V502" s="221"/>
      <c r="W502" s="221"/>
      <c r="X502" s="221"/>
      <c r="Y502" s="221"/>
      <c r="Z502" s="221"/>
      <c r="AA502" s="221"/>
      <c r="AB502" s="221"/>
      <c r="AC502" s="221"/>
      <c r="AD502" s="221"/>
      <c r="AE502" s="221"/>
      <c r="AF502" s="221"/>
      <c r="AG502" s="221"/>
      <c r="AH502" s="221"/>
      <c r="AI502" s="221"/>
      <c r="AJ502" s="221"/>
      <c r="AK502" s="221"/>
      <c r="AL502" s="221"/>
      <c r="AM502" s="221"/>
      <c r="AN502" s="221"/>
      <c r="AO502" s="221"/>
      <c r="AP502" s="221"/>
      <c r="AQ502" s="221"/>
      <c r="AR502" s="221"/>
      <c r="AS502" s="221"/>
      <c r="AT502" s="221"/>
      <c r="AU502" s="221"/>
      <c r="AV502" s="221"/>
      <c r="AW502" s="221"/>
    </row>
    <row r="503" spans="3:49" x14ac:dyDescent="0.25">
      <c r="C503" s="214"/>
      <c r="D503" s="36"/>
      <c r="E503" s="36"/>
      <c r="F503" s="214"/>
      <c r="G503" s="206"/>
      <c r="H503" s="206"/>
      <c r="I503" s="206"/>
      <c r="J503" s="221"/>
      <c r="K503" s="222"/>
      <c r="L503" s="221"/>
      <c r="M503" s="222"/>
      <c r="N503" s="221"/>
      <c r="O503" s="221"/>
      <c r="P503" s="221"/>
      <c r="Q503" s="221"/>
      <c r="R503" s="221"/>
      <c r="S503" s="221"/>
      <c r="T503" s="221"/>
      <c r="U503" s="221"/>
      <c r="V503" s="221"/>
      <c r="W503" s="221"/>
      <c r="X503" s="221"/>
      <c r="Y503" s="221"/>
      <c r="Z503" s="221"/>
      <c r="AA503" s="221"/>
      <c r="AB503" s="221"/>
      <c r="AC503" s="221"/>
      <c r="AD503" s="221"/>
      <c r="AE503" s="221"/>
      <c r="AF503" s="221"/>
      <c r="AG503" s="221"/>
      <c r="AH503" s="221"/>
      <c r="AI503" s="221"/>
      <c r="AJ503" s="221"/>
      <c r="AK503" s="221"/>
      <c r="AL503" s="221"/>
      <c r="AM503" s="221"/>
      <c r="AN503" s="221"/>
      <c r="AO503" s="221"/>
      <c r="AP503" s="221"/>
      <c r="AQ503" s="221"/>
      <c r="AR503" s="221"/>
      <c r="AS503" s="221"/>
      <c r="AT503" s="221"/>
      <c r="AU503" s="221"/>
      <c r="AV503" s="221"/>
      <c r="AW503" s="221"/>
    </row>
    <row r="504" spans="3:49" x14ac:dyDescent="0.25">
      <c r="C504" s="214"/>
      <c r="D504" s="36"/>
      <c r="E504" s="36"/>
      <c r="F504" s="214"/>
      <c r="G504" s="206"/>
      <c r="H504" s="206"/>
      <c r="I504" s="206"/>
      <c r="J504" s="221"/>
      <c r="K504" s="222"/>
      <c r="L504" s="221"/>
      <c r="M504" s="222"/>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U504" s="221"/>
      <c r="AV504" s="221"/>
      <c r="AW504" s="221"/>
    </row>
    <row r="505" spans="3:49" x14ac:dyDescent="0.25">
      <c r="C505" s="214"/>
      <c r="D505" s="36"/>
      <c r="E505" s="36"/>
      <c r="F505" s="36"/>
      <c r="G505" s="206"/>
      <c r="H505" s="206"/>
      <c r="I505" s="206"/>
      <c r="J505" s="221"/>
      <c r="K505" s="222"/>
      <c r="L505" s="221"/>
      <c r="M505" s="222"/>
      <c r="N505" s="221"/>
      <c r="O505" s="221"/>
      <c r="P505" s="221"/>
      <c r="Q505" s="221"/>
      <c r="R505" s="221"/>
      <c r="S505" s="221"/>
      <c r="T505" s="221"/>
      <c r="U505" s="221"/>
      <c r="V505" s="221"/>
      <c r="W505" s="221"/>
      <c r="X505" s="221"/>
      <c r="Y505" s="221"/>
      <c r="Z505" s="221"/>
      <c r="AA505" s="221"/>
      <c r="AB505" s="221"/>
      <c r="AC505" s="221"/>
      <c r="AD505" s="221"/>
      <c r="AE505" s="221"/>
      <c r="AF505" s="221"/>
      <c r="AG505" s="221"/>
      <c r="AH505" s="221"/>
      <c r="AI505" s="221"/>
      <c r="AJ505" s="221"/>
      <c r="AK505" s="221"/>
      <c r="AL505" s="221"/>
      <c r="AM505" s="221"/>
      <c r="AN505" s="221"/>
      <c r="AO505" s="221"/>
      <c r="AP505" s="221"/>
      <c r="AQ505" s="221"/>
      <c r="AR505" s="221"/>
      <c r="AS505" s="221"/>
      <c r="AT505" s="221"/>
      <c r="AU505" s="221"/>
      <c r="AV505" s="221"/>
      <c r="AW505" s="221"/>
    </row>
    <row r="506" spans="3:49" x14ac:dyDescent="0.25">
      <c r="C506" s="214"/>
      <c r="D506" s="36"/>
      <c r="E506" s="36"/>
      <c r="F506" s="214"/>
      <c r="G506" s="206"/>
      <c r="H506" s="206"/>
      <c r="I506" s="206"/>
      <c r="J506" s="221"/>
      <c r="K506" s="222"/>
      <c r="L506" s="221"/>
      <c r="M506" s="222"/>
      <c r="N506" s="221"/>
      <c r="O506" s="221"/>
      <c r="P506" s="221"/>
      <c r="Q506" s="221"/>
      <c r="R506" s="221"/>
      <c r="S506" s="221"/>
      <c r="T506" s="221"/>
      <c r="U506" s="221"/>
      <c r="V506" s="221"/>
      <c r="W506" s="221"/>
      <c r="X506" s="221"/>
      <c r="Y506" s="221"/>
      <c r="Z506" s="221"/>
      <c r="AA506" s="221"/>
      <c r="AB506" s="221"/>
      <c r="AC506" s="221"/>
      <c r="AD506" s="221"/>
      <c r="AE506" s="221"/>
      <c r="AF506" s="221"/>
      <c r="AG506" s="221"/>
      <c r="AH506" s="221"/>
      <c r="AI506" s="221"/>
      <c r="AJ506" s="221"/>
      <c r="AK506" s="221"/>
      <c r="AL506" s="221"/>
      <c r="AM506" s="221"/>
      <c r="AN506" s="221"/>
      <c r="AO506" s="221"/>
      <c r="AP506" s="221"/>
      <c r="AQ506" s="221"/>
      <c r="AR506" s="221"/>
      <c r="AS506" s="221"/>
      <c r="AT506" s="221"/>
      <c r="AU506" s="221"/>
      <c r="AV506" s="221"/>
      <c r="AW506" s="221"/>
    </row>
    <row r="507" spans="3:49" x14ac:dyDescent="0.25">
      <c r="C507" s="214"/>
      <c r="D507" s="36"/>
      <c r="E507" s="36"/>
      <c r="F507" s="214"/>
      <c r="G507" s="206"/>
      <c r="H507" s="206"/>
      <c r="I507" s="206"/>
      <c r="J507" s="221"/>
      <c r="K507" s="222"/>
      <c r="L507" s="221"/>
      <c r="M507" s="222"/>
      <c r="N507" s="221"/>
      <c r="O507" s="221"/>
      <c r="P507" s="221"/>
      <c r="Q507" s="221"/>
      <c r="R507" s="221"/>
      <c r="S507" s="221"/>
      <c r="T507" s="221"/>
      <c r="U507" s="221"/>
      <c r="V507" s="221"/>
      <c r="W507" s="221"/>
      <c r="X507" s="221"/>
      <c r="Y507" s="221"/>
      <c r="Z507" s="221"/>
      <c r="AA507" s="221"/>
      <c r="AB507" s="221"/>
      <c r="AC507" s="221"/>
      <c r="AD507" s="221"/>
      <c r="AE507" s="221"/>
      <c r="AF507" s="221"/>
      <c r="AG507" s="221"/>
      <c r="AH507" s="221"/>
      <c r="AI507" s="221"/>
      <c r="AJ507" s="221"/>
      <c r="AK507" s="221"/>
      <c r="AL507" s="221"/>
      <c r="AM507" s="221"/>
      <c r="AN507" s="221"/>
      <c r="AO507" s="221"/>
      <c r="AP507" s="221"/>
      <c r="AQ507" s="221"/>
      <c r="AR507" s="221"/>
      <c r="AS507" s="221"/>
      <c r="AT507" s="221"/>
      <c r="AU507" s="221"/>
      <c r="AV507" s="221"/>
      <c r="AW507" s="221"/>
    </row>
    <row r="508" spans="3:49" x14ac:dyDescent="0.25">
      <c r="C508" s="214"/>
      <c r="D508" s="36"/>
      <c r="E508" s="36"/>
      <c r="F508" s="36"/>
      <c r="G508" s="206"/>
      <c r="H508" s="206"/>
      <c r="I508" s="206"/>
      <c r="J508" s="221"/>
      <c r="K508" s="222"/>
      <c r="L508" s="221"/>
      <c r="M508" s="222"/>
      <c r="N508" s="221"/>
      <c r="O508" s="221"/>
      <c r="P508" s="221"/>
      <c r="Q508" s="221"/>
      <c r="R508" s="221"/>
      <c r="S508" s="221"/>
      <c r="T508" s="221"/>
      <c r="U508" s="221"/>
      <c r="V508" s="221"/>
      <c r="W508" s="221"/>
      <c r="X508" s="221"/>
      <c r="Y508" s="221"/>
      <c r="Z508" s="221"/>
      <c r="AA508" s="221"/>
      <c r="AB508" s="221"/>
      <c r="AC508" s="221"/>
      <c r="AD508" s="221"/>
      <c r="AE508" s="221"/>
      <c r="AF508" s="221"/>
      <c r="AG508" s="221"/>
      <c r="AH508" s="221"/>
      <c r="AI508" s="221"/>
      <c r="AJ508" s="221"/>
      <c r="AK508" s="221"/>
      <c r="AL508" s="221"/>
      <c r="AM508" s="221"/>
      <c r="AN508" s="221"/>
      <c r="AO508" s="221"/>
      <c r="AP508" s="221"/>
      <c r="AQ508" s="221"/>
      <c r="AR508" s="221"/>
      <c r="AS508" s="221"/>
      <c r="AT508" s="221"/>
      <c r="AU508" s="221"/>
      <c r="AV508" s="221"/>
      <c r="AW508" s="221"/>
    </row>
    <row r="509" spans="3:49" x14ac:dyDescent="0.25">
      <c r="C509" s="214"/>
      <c r="D509" s="36"/>
      <c r="E509" s="36"/>
      <c r="F509" s="214"/>
      <c r="G509" s="206"/>
      <c r="H509" s="206"/>
      <c r="I509" s="206"/>
      <c r="J509" s="221"/>
      <c r="K509" s="222"/>
      <c r="L509" s="221"/>
      <c r="M509" s="222"/>
      <c r="N509" s="221"/>
      <c r="O509" s="221"/>
      <c r="P509" s="221"/>
      <c r="Q509" s="221"/>
      <c r="R509" s="221"/>
      <c r="S509" s="221"/>
      <c r="T509" s="221"/>
      <c r="U509" s="221"/>
      <c r="V509" s="221"/>
      <c r="W509" s="221"/>
      <c r="X509" s="221"/>
      <c r="Y509" s="221"/>
      <c r="Z509" s="221"/>
      <c r="AA509" s="221"/>
      <c r="AB509" s="221"/>
      <c r="AC509" s="221"/>
      <c r="AD509" s="221"/>
      <c r="AE509" s="221"/>
      <c r="AF509" s="221"/>
      <c r="AG509" s="221"/>
      <c r="AH509" s="221"/>
      <c r="AI509" s="221"/>
      <c r="AJ509" s="221"/>
      <c r="AK509" s="221"/>
      <c r="AL509" s="221"/>
      <c r="AM509" s="221"/>
      <c r="AN509" s="221"/>
      <c r="AO509" s="221"/>
      <c r="AP509" s="221"/>
      <c r="AQ509" s="221"/>
      <c r="AR509" s="221"/>
      <c r="AS509" s="221"/>
      <c r="AT509" s="221"/>
      <c r="AU509" s="221"/>
      <c r="AV509" s="221"/>
      <c r="AW509" s="221"/>
    </row>
    <row r="510" spans="3:49" x14ac:dyDescent="0.25">
      <c r="C510" s="214"/>
      <c r="D510" s="36"/>
      <c r="E510" s="36"/>
      <c r="F510" s="214"/>
      <c r="G510" s="206"/>
      <c r="H510" s="206"/>
      <c r="I510" s="206"/>
      <c r="J510" s="221"/>
      <c r="K510" s="222"/>
      <c r="L510" s="221"/>
      <c r="M510" s="222"/>
      <c r="N510" s="221"/>
      <c r="O510" s="221"/>
      <c r="P510" s="221"/>
      <c r="Q510" s="221"/>
      <c r="R510" s="221"/>
      <c r="S510" s="221"/>
      <c r="T510" s="221"/>
      <c r="U510" s="221"/>
      <c r="V510" s="221"/>
      <c r="W510" s="221"/>
      <c r="X510" s="221"/>
      <c r="Y510" s="221"/>
      <c r="Z510" s="221"/>
      <c r="AA510" s="221"/>
      <c r="AB510" s="221"/>
      <c r="AC510" s="221"/>
      <c r="AD510" s="221"/>
      <c r="AE510" s="221"/>
      <c r="AF510" s="221"/>
      <c r="AG510" s="221"/>
      <c r="AH510" s="221"/>
      <c r="AI510" s="221"/>
      <c r="AJ510" s="221"/>
      <c r="AK510" s="221"/>
      <c r="AL510" s="221"/>
      <c r="AM510" s="221"/>
      <c r="AN510" s="221"/>
      <c r="AO510" s="221"/>
      <c r="AP510" s="221"/>
      <c r="AQ510" s="221"/>
      <c r="AR510" s="221"/>
      <c r="AS510" s="221"/>
      <c r="AT510" s="221"/>
      <c r="AU510" s="221"/>
      <c r="AV510" s="221"/>
      <c r="AW510" s="221"/>
    </row>
    <row r="511" spans="3:49" x14ac:dyDescent="0.25">
      <c r="C511" s="214"/>
      <c r="D511" s="36"/>
      <c r="E511" s="36"/>
      <c r="F511" s="36"/>
      <c r="G511" s="206"/>
      <c r="H511" s="206"/>
      <c r="I511" s="206"/>
      <c r="J511" s="221"/>
      <c r="K511" s="222"/>
      <c r="L511" s="221"/>
      <c r="M511" s="222"/>
      <c r="N511" s="221"/>
      <c r="O511" s="221"/>
      <c r="P511" s="221"/>
      <c r="Q511" s="221"/>
      <c r="R511" s="221"/>
      <c r="S511" s="221"/>
      <c r="T511" s="221"/>
      <c r="U511" s="221"/>
      <c r="V511" s="221"/>
      <c r="W511" s="221"/>
      <c r="X511" s="221"/>
      <c r="Y511" s="221"/>
      <c r="Z511" s="221"/>
      <c r="AA511" s="221"/>
      <c r="AB511" s="221"/>
      <c r="AC511" s="221"/>
      <c r="AD511" s="221"/>
      <c r="AE511" s="221"/>
      <c r="AF511" s="221"/>
      <c r="AG511" s="221"/>
      <c r="AH511" s="221"/>
      <c r="AI511" s="221"/>
      <c r="AJ511" s="221"/>
      <c r="AK511" s="221"/>
      <c r="AL511" s="221"/>
      <c r="AM511" s="221"/>
      <c r="AN511" s="221"/>
      <c r="AO511" s="221"/>
      <c r="AP511" s="221"/>
      <c r="AQ511" s="221"/>
      <c r="AR511" s="221"/>
      <c r="AS511" s="221"/>
      <c r="AT511" s="221"/>
      <c r="AU511" s="221"/>
      <c r="AV511" s="221"/>
      <c r="AW511" s="221"/>
    </row>
    <row r="512" spans="3:49" x14ac:dyDescent="0.25">
      <c r="C512" s="214"/>
      <c r="D512" s="36"/>
      <c r="E512" s="36"/>
      <c r="F512" s="214"/>
      <c r="G512" s="206"/>
      <c r="H512" s="206"/>
      <c r="I512" s="206"/>
      <c r="J512" s="221"/>
      <c r="K512" s="222"/>
      <c r="L512" s="221"/>
      <c r="M512" s="222"/>
      <c r="N512" s="221"/>
      <c r="O512" s="221"/>
      <c r="P512" s="221"/>
      <c r="Q512" s="221"/>
      <c r="R512" s="221"/>
      <c r="S512" s="221"/>
      <c r="T512" s="221"/>
      <c r="U512" s="221"/>
      <c r="V512" s="221"/>
      <c r="W512" s="221"/>
      <c r="X512" s="221"/>
      <c r="Y512" s="221"/>
      <c r="Z512" s="221"/>
      <c r="AA512" s="221"/>
      <c r="AB512" s="221"/>
      <c r="AC512" s="221"/>
      <c r="AD512" s="221"/>
      <c r="AE512" s="221"/>
      <c r="AF512" s="221"/>
      <c r="AG512" s="221"/>
      <c r="AH512" s="221"/>
      <c r="AI512" s="221"/>
      <c r="AJ512" s="221"/>
      <c r="AK512" s="221"/>
      <c r="AL512" s="221"/>
      <c r="AM512" s="221"/>
      <c r="AN512" s="221"/>
      <c r="AO512" s="221"/>
      <c r="AP512" s="221"/>
      <c r="AQ512" s="221"/>
      <c r="AR512" s="221"/>
      <c r="AS512" s="221"/>
      <c r="AT512" s="221"/>
      <c r="AU512" s="221"/>
      <c r="AV512" s="221"/>
      <c r="AW512" s="221"/>
    </row>
    <row r="513" spans="3:49" x14ac:dyDescent="0.25">
      <c r="C513" s="214"/>
      <c r="D513" s="36"/>
      <c r="E513" s="36"/>
      <c r="F513" s="214"/>
      <c r="G513" s="206"/>
      <c r="H513" s="206"/>
      <c r="I513" s="206"/>
      <c r="J513" s="221"/>
      <c r="K513" s="222"/>
      <c r="L513" s="221"/>
      <c r="M513" s="222"/>
      <c r="N513" s="221"/>
      <c r="O513" s="221"/>
      <c r="P513" s="221"/>
      <c r="Q513" s="221"/>
      <c r="R513" s="221"/>
      <c r="S513" s="221"/>
      <c r="T513" s="221"/>
      <c r="U513" s="221"/>
      <c r="V513" s="221"/>
      <c r="W513" s="221"/>
      <c r="X513" s="221"/>
      <c r="Y513" s="221"/>
      <c r="Z513" s="221"/>
      <c r="AA513" s="221"/>
      <c r="AB513" s="221"/>
      <c r="AC513" s="221"/>
      <c r="AD513" s="221"/>
      <c r="AE513" s="221"/>
      <c r="AF513" s="221"/>
      <c r="AG513" s="221"/>
      <c r="AH513" s="221"/>
      <c r="AI513" s="221"/>
      <c r="AJ513" s="221"/>
      <c r="AK513" s="221"/>
      <c r="AL513" s="221"/>
      <c r="AM513" s="221"/>
      <c r="AN513" s="221"/>
      <c r="AO513" s="221"/>
      <c r="AP513" s="221"/>
      <c r="AQ513" s="221"/>
      <c r="AR513" s="221"/>
      <c r="AS513" s="221"/>
      <c r="AT513" s="221"/>
      <c r="AU513" s="221"/>
      <c r="AV513" s="221"/>
      <c r="AW513" s="221"/>
    </row>
    <row r="514" spans="3:49" x14ac:dyDescent="0.25">
      <c r="C514" s="214"/>
      <c r="D514" s="36"/>
      <c r="E514" s="36"/>
      <c r="F514" s="36"/>
      <c r="G514" s="206"/>
      <c r="H514" s="206"/>
      <c r="I514" s="206"/>
      <c r="J514" s="221"/>
      <c r="K514" s="222"/>
      <c r="L514" s="221"/>
      <c r="M514" s="222"/>
      <c r="N514" s="221"/>
      <c r="O514" s="221"/>
      <c r="P514" s="221"/>
      <c r="Q514" s="221"/>
      <c r="R514" s="221"/>
      <c r="S514" s="221"/>
      <c r="T514" s="221"/>
      <c r="U514" s="221"/>
      <c r="V514" s="221"/>
      <c r="W514" s="221"/>
      <c r="X514" s="221"/>
      <c r="Y514" s="221"/>
      <c r="Z514" s="221"/>
      <c r="AA514" s="221"/>
      <c r="AB514" s="221"/>
      <c r="AC514" s="221"/>
      <c r="AD514" s="221"/>
      <c r="AE514" s="221"/>
      <c r="AF514" s="221"/>
      <c r="AG514" s="221"/>
      <c r="AH514" s="221"/>
      <c r="AI514" s="221"/>
      <c r="AJ514" s="221"/>
      <c r="AK514" s="221"/>
      <c r="AL514" s="221"/>
      <c r="AM514" s="221"/>
      <c r="AN514" s="221"/>
      <c r="AO514" s="221"/>
      <c r="AP514" s="221"/>
      <c r="AQ514" s="221"/>
      <c r="AR514" s="221"/>
      <c r="AS514" s="221"/>
      <c r="AT514" s="221"/>
      <c r="AU514" s="221"/>
      <c r="AV514" s="221"/>
      <c r="AW514" s="221"/>
    </row>
    <row r="515" spans="3:49" x14ac:dyDescent="0.25">
      <c r="C515" s="214"/>
      <c r="D515" s="36"/>
      <c r="E515" s="36"/>
      <c r="F515" s="214"/>
      <c r="G515" s="206"/>
      <c r="H515" s="206"/>
      <c r="I515" s="206"/>
      <c r="J515" s="221"/>
      <c r="K515" s="222"/>
      <c r="L515" s="221"/>
      <c r="M515" s="222"/>
      <c r="N515" s="221"/>
      <c r="O515" s="221"/>
      <c r="P515" s="221"/>
      <c r="Q515" s="221"/>
      <c r="R515" s="221"/>
      <c r="S515" s="221"/>
      <c r="T515" s="221"/>
      <c r="U515" s="221"/>
      <c r="V515" s="221"/>
      <c r="W515" s="221"/>
      <c r="X515" s="221"/>
      <c r="Y515" s="221"/>
      <c r="Z515" s="221"/>
      <c r="AA515" s="221"/>
      <c r="AB515" s="221"/>
      <c r="AC515" s="221"/>
      <c r="AD515" s="221"/>
      <c r="AE515" s="221"/>
      <c r="AF515" s="221"/>
      <c r="AG515" s="221"/>
      <c r="AH515" s="221"/>
      <c r="AI515" s="221"/>
      <c r="AJ515" s="221"/>
      <c r="AK515" s="221"/>
      <c r="AL515" s="221"/>
      <c r="AM515" s="221"/>
      <c r="AN515" s="221"/>
      <c r="AO515" s="221"/>
      <c r="AP515" s="221"/>
      <c r="AQ515" s="221"/>
      <c r="AR515" s="221"/>
      <c r="AS515" s="221"/>
      <c r="AT515" s="221"/>
      <c r="AU515" s="221"/>
      <c r="AV515" s="221"/>
      <c r="AW515" s="221"/>
    </row>
    <row r="516" spans="3:49" x14ac:dyDescent="0.25">
      <c r="C516" s="214"/>
      <c r="D516" s="36"/>
      <c r="E516" s="36"/>
      <c r="F516" s="214"/>
      <c r="G516" s="206"/>
      <c r="H516" s="206"/>
      <c r="I516" s="206"/>
      <c r="J516" s="221"/>
      <c r="K516" s="222"/>
      <c r="L516" s="221"/>
      <c r="M516" s="222"/>
      <c r="N516" s="221"/>
      <c r="O516" s="221"/>
      <c r="P516" s="221"/>
      <c r="Q516" s="221"/>
      <c r="R516" s="221"/>
      <c r="S516" s="221"/>
      <c r="T516" s="221"/>
      <c r="U516" s="221"/>
      <c r="V516" s="221"/>
      <c r="W516" s="221"/>
      <c r="X516" s="221"/>
      <c r="Y516" s="221"/>
      <c r="Z516" s="221"/>
      <c r="AA516" s="221"/>
      <c r="AB516" s="221"/>
      <c r="AC516" s="221"/>
      <c r="AD516" s="221"/>
      <c r="AE516" s="221"/>
      <c r="AF516" s="221"/>
      <c r="AG516" s="221"/>
      <c r="AH516" s="221"/>
      <c r="AI516" s="221"/>
      <c r="AJ516" s="221"/>
      <c r="AK516" s="221"/>
      <c r="AL516" s="221"/>
      <c r="AM516" s="221"/>
      <c r="AN516" s="221"/>
      <c r="AO516" s="221"/>
      <c r="AP516" s="221"/>
      <c r="AQ516" s="221"/>
      <c r="AR516" s="221"/>
      <c r="AS516" s="221"/>
      <c r="AT516" s="221"/>
      <c r="AU516" s="221"/>
      <c r="AV516" s="221"/>
      <c r="AW516" s="221"/>
    </row>
    <row r="517" spans="3:49" x14ac:dyDescent="0.25">
      <c r="C517" s="214"/>
      <c r="D517" s="36"/>
      <c r="E517" s="36"/>
      <c r="F517" s="36"/>
      <c r="G517" s="206"/>
      <c r="H517" s="206"/>
      <c r="I517" s="206"/>
      <c r="J517" s="221"/>
      <c r="K517" s="222"/>
      <c r="L517" s="221"/>
      <c r="M517" s="222"/>
      <c r="N517" s="221"/>
      <c r="O517" s="221"/>
      <c r="P517" s="221"/>
      <c r="Q517" s="221"/>
      <c r="R517" s="221"/>
      <c r="S517" s="221"/>
      <c r="T517" s="221"/>
      <c r="U517" s="221"/>
      <c r="V517" s="221"/>
      <c r="W517" s="221"/>
      <c r="X517" s="221"/>
      <c r="Y517" s="221"/>
      <c r="Z517" s="221"/>
      <c r="AA517" s="221"/>
      <c r="AB517" s="221"/>
      <c r="AC517" s="221"/>
      <c r="AD517" s="221"/>
      <c r="AE517" s="221"/>
      <c r="AF517" s="221"/>
      <c r="AG517" s="221"/>
      <c r="AH517" s="221"/>
      <c r="AI517" s="221"/>
      <c r="AJ517" s="221"/>
      <c r="AK517" s="221"/>
      <c r="AL517" s="221"/>
      <c r="AM517" s="221"/>
      <c r="AN517" s="221"/>
      <c r="AO517" s="221"/>
      <c r="AP517" s="221"/>
      <c r="AQ517" s="221"/>
      <c r="AR517" s="221"/>
      <c r="AS517" s="221"/>
      <c r="AT517" s="221"/>
      <c r="AU517" s="221"/>
      <c r="AV517" s="221"/>
      <c r="AW517" s="221"/>
    </row>
    <row r="518" spans="3:49" x14ac:dyDescent="0.25">
      <c r="C518" s="214"/>
      <c r="D518" s="36"/>
      <c r="E518" s="36"/>
      <c r="F518" s="214"/>
      <c r="G518" s="206"/>
      <c r="H518" s="206"/>
      <c r="I518" s="206"/>
      <c r="J518" s="221"/>
      <c r="K518" s="222"/>
      <c r="L518" s="221"/>
      <c r="M518" s="222"/>
      <c r="N518" s="221"/>
      <c r="O518" s="221"/>
      <c r="P518" s="221"/>
      <c r="Q518" s="221"/>
      <c r="R518" s="221"/>
      <c r="S518" s="221"/>
      <c r="T518" s="221"/>
      <c r="U518" s="221"/>
      <c r="V518" s="221"/>
      <c r="W518" s="221"/>
      <c r="X518" s="221"/>
      <c r="Y518" s="221"/>
      <c r="Z518" s="221"/>
      <c r="AA518" s="221"/>
      <c r="AB518" s="221"/>
      <c r="AC518" s="221"/>
      <c r="AD518" s="221"/>
      <c r="AE518" s="221"/>
      <c r="AF518" s="221"/>
      <c r="AG518" s="221"/>
      <c r="AH518" s="221"/>
      <c r="AI518" s="221"/>
      <c r="AJ518" s="221"/>
      <c r="AK518" s="221"/>
      <c r="AL518" s="221"/>
      <c r="AM518" s="221"/>
      <c r="AN518" s="221"/>
      <c r="AO518" s="221"/>
      <c r="AP518" s="221"/>
      <c r="AQ518" s="221"/>
      <c r="AR518" s="221"/>
      <c r="AS518" s="221"/>
      <c r="AT518" s="221"/>
      <c r="AU518" s="221"/>
      <c r="AV518" s="221"/>
      <c r="AW518" s="221"/>
    </row>
    <row r="519" spans="3:49" x14ac:dyDescent="0.25">
      <c r="C519" s="214"/>
      <c r="D519" s="36"/>
      <c r="E519" s="36"/>
      <c r="F519" s="214"/>
      <c r="G519" s="206"/>
      <c r="H519" s="206"/>
      <c r="I519" s="206"/>
      <c r="J519" s="221"/>
      <c r="K519" s="222"/>
      <c r="L519" s="221"/>
      <c r="M519" s="222"/>
      <c r="N519" s="221"/>
      <c r="O519" s="221"/>
      <c r="P519" s="221"/>
      <c r="Q519" s="221"/>
      <c r="R519" s="221"/>
      <c r="S519" s="221"/>
      <c r="T519" s="221"/>
      <c r="U519" s="221"/>
      <c r="V519" s="221"/>
      <c r="W519" s="221"/>
      <c r="X519" s="221"/>
      <c r="Y519" s="221"/>
      <c r="Z519" s="221"/>
      <c r="AA519" s="221"/>
      <c r="AB519" s="221"/>
      <c r="AC519" s="221"/>
      <c r="AD519" s="221"/>
      <c r="AE519" s="221"/>
      <c r="AF519" s="221"/>
      <c r="AG519" s="221"/>
      <c r="AH519" s="221"/>
      <c r="AI519" s="221"/>
      <c r="AJ519" s="221"/>
      <c r="AK519" s="221"/>
      <c r="AL519" s="221"/>
      <c r="AM519" s="221"/>
      <c r="AN519" s="221"/>
      <c r="AO519" s="221"/>
      <c r="AP519" s="221"/>
      <c r="AQ519" s="221"/>
      <c r="AR519" s="221"/>
      <c r="AS519" s="221"/>
      <c r="AT519" s="221"/>
      <c r="AU519" s="221"/>
      <c r="AV519" s="221"/>
      <c r="AW519" s="221"/>
    </row>
    <row r="520" spans="3:49" x14ac:dyDescent="0.25">
      <c r="C520" s="214"/>
      <c r="D520" s="36"/>
      <c r="E520" s="36"/>
      <c r="F520" s="36"/>
      <c r="G520" s="206"/>
      <c r="H520" s="206"/>
      <c r="I520" s="206"/>
      <c r="J520" s="221"/>
      <c r="K520" s="222"/>
      <c r="L520" s="221"/>
      <c r="M520" s="222"/>
      <c r="N520" s="221"/>
      <c r="O520" s="221"/>
      <c r="P520" s="221"/>
      <c r="Q520" s="221"/>
      <c r="R520" s="221"/>
      <c r="S520" s="221"/>
      <c r="T520" s="221"/>
      <c r="U520" s="221"/>
      <c r="V520" s="221"/>
      <c r="W520" s="221"/>
      <c r="X520" s="221"/>
      <c r="Y520" s="221"/>
      <c r="Z520" s="221"/>
      <c r="AA520" s="221"/>
      <c r="AB520" s="221"/>
      <c r="AC520" s="221"/>
      <c r="AD520" s="221"/>
      <c r="AE520" s="221"/>
      <c r="AF520" s="221"/>
      <c r="AG520" s="221"/>
      <c r="AH520" s="221"/>
      <c r="AI520" s="221"/>
      <c r="AJ520" s="221"/>
      <c r="AK520" s="221"/>
      <c r="AL520" s="221"/>
      <c r="AM520" s="221"/>
      <c r="AN520" s="221"/>
      <c r="AO520" s="221"/>
      <c r="AP520" s="221"/>
      <c r="AQ520" s="221"/>
      <c r="AR520" s="221"/>
      <c r="AS520" s="221"/>
      <c r="AT520" s="221"/>
      <c r="AU520" s="221"/>
      <c r="AV520" s="221"/>
      <c r="AW520" s="221"/>
    </row>
    <row r="521" spans="3:49" x14ac:dyDescent="0.25">
      <c r="C521" s="214"/>
      <c r="D521" s="36"/>
      <c r="E521" s="36"/>
      <c r="F521" s="214"/>
      <c r="G521" s="206"/>
      <c r="H521" s="206"/>
      <c r="I521" s="206"/>
      <c r="J521" s="221"/>
      <c r="K521" s="222"/>
      <c r="L521" s="221"/>
      <c r="M521" s="222"/>
      <c r="N521" s="221"/>
      <c r="O521" s="221"/>
      <c r="P521" s="221"/>
      <c r="Q521" s="221"/>
      <c r="R521" s="221"/>
      <c r="S521" s="221"/>
      <c r="T521" s="221"/>
      <c r="U521" s="221"/>
      <c r="V521" s="221"/>
      <c r="W521" s="221"/>
      <c r="X521" s="221"/>
      <c r="Y521" s="221"/>
      <c r="Z521" s="221"/>
      <c r="AA521" s="221"/>
      <c r="AB521" s="221"/>
      <c r="AC521" s="221"/>
      <c r="AD521" s="221"/>
      <c r="AE521" s="221"/>
      <c r="AF521" s="221"/>
      <c r="AG521" s="221"/>
      <c r="AH521" s="221"/>
      <c r="AI521" s="221"/>
      <c r="AJ521" s="221"/>
      <c r="AK521" s="221"/>
      <c r="AL521" s="221"/>
      <c r="AM521" s="221"/>
      <c r="AN521" s="221"/>
      <c r="AO521" s="221"/>
      <c r="AP521" s="221"/>
      <c r="AQ521" s="221"/>
      <c r="AR521" s="221"/>
      <c r="AS521" s="221"/>
      <c r="AT521" s="221"/>
      <c r="AU521" s="221"/>
      <c r="AV521" s="221"/>
      <c r="AW521" s="221"/>
    </row>
    <row r="522" spans="3:49" x14ac:dyDescent="0.25">
      <c r="C522" s="214"/>
      <c r="D522" s="36"/>
      <c r="E522" s="36"/>
      <c r="F522" s="214"/>
      <c r="G522" s="206"/>
      <c r="H522" s="206"/>
      <c r="I522" s="206"/>
      <c r="J522" s="221"/>
      <c r="K522" s="222"/>
      <c r="L522" s="221"/>
      <c r="M522" s="222"/>
      <c r="N522" s="221"/>
      <c r="O522" s="221"/>
      <c r="P522" s="221"/>
      <c r="Q522" s="221"/>
      <c r="R522" s="221"/>
      <c r="S522" s="221"/>
      <c r="T522" s="221"/>
      <c r="U522" s="221"/>
      <c r="V522" s="221"/>
      <c r="W522" s="221"/>
      <c r="X522" s="221"/>
      <c r="Y522" s="221"/>
      <c r="Z522" s="221"/>
      <c r="AA522" s="221"/>
      <c r="AB522" s="221"/>
      <c r="AC522" s="221"/>
      <c r="AD522" s="221"/>
      <c r="AE522" s="221"/>
      <c r="AF522" s="221"/>
      <c r="AG522" s="221"/>
      <c r="AH522" s="221"/>
      <c r="AI522" s="221"/>
      <c r="AJ522" s="221"/>
      <c r="AK522" s="221"/>
      <c r="AL522" s="221"/>
      <c r="AM522" s="221"/>
      <c r="AN522" s="221"/>
      <c r="AO522" s="221"/>
      <c r="AP522" s="221"/>
      <c r="AQ522" s="221"/>
      <c r="AR522" s="221"/>
      <c r="AS522" s="221"/>
      <c r="AT522" s="221"/>
      <c r="AU522" s="221"/>
      <c r="AV522" s="221"/>
      <c r="AW522" s="221"/>
    </row>
    <row r="523" spans="3:49" x14ac:dyDescent="0.25">
      <c r="C523" s="214"/>
      <c r="D523" s="36"/>
      <c r="E523" s="36"/>
      <c r="F523" s="36"/>
      <c r="G523" s="206"/>
      <c r="H523" s="206"/>
      <c r="I523" s="206"/>
      <c r="J523" s="221"/>
      <c r="K523" s="222"/>
      <c r="L523" s="221"/>
      <c r="M523" s="222"/>
      <c r="N523" s="221"/>
      <c r="O523" s="221"/>
      <c r="P523" s="221"/>
      <c r="Q523" s="221"/>
      <c r="R523" s="221"/>
      <c r="S523" s="221"/>
      <c r="T523" s="221"/>
      <c r="U523" s="221"/>
      <c r="V523" s="221"/>
      <c r="W523" s="221"/>
      <c r="X523" s="221"/>
      <c r="Y523" s="221"/>
      <c r="Z523" s="221"/>
      <c r="AA523" s="221"/>
      <c r="AB523" s="221"/>
      <c r="AC523" s="221"/>
      <c r="AD523" s="221"/>
      <c r="AE523" s="221"/>
      <c r="AF523" s="221"/>
      <c r="AG523" s="221"/>
      <c r="AH523" s="221"/>
      <c r="AI523" s="221"/>
      <c r="AJ523" s="221"/>
      <c r="AK523" s="221"/>
      <c r="AL523" s="221"/>
      <c r="AM523" s="221"/>
      <c r="AN523" s="221"/>
      <c r="AO523" s="221"/>
      <c r="AP523" s="221"/>
      <c r="AQ523" s="221"/>
      <c r="AR523" s="221"/>
      <c r="AS523" s="221"/>
      <c r="AT523" s="221"/>
      <c r="AU523" s="221"/>
      <c r="AV523" s="221"/>
      <c r="AW523" s="221"/>
    </row>
    <row r="524" spans="3:49" x14ac:dyDescent="0.25">
      <c r="C524" s="214"/>
      <c r="D524" s="36"/>
      <c r="E524" s="36"/>
      <c r="F524" s="214"/>
      <c r="G524" s="206"/>
      <c r="H524" s="206"/>
      <c r="I524" s="206"/>
      <c r="J524" s="221"/>
      <c r="K524" s="222"/>
      <c r="L524" s="221"/>
      <c r="M524" s="222"/>
      <c r="N524" s="221"/>
      <c r="O524" s="221"/>
      <c r="P524" s="221"/>
      <c r="Q524" s="221"/>
      <c r="R524" s="221"/>
      <c r="S524" s="221"/>
      <c r="T524" s="221"/>
      <c r="U524" s="221"/>
      <c r="V524" s="221"/>
      <c r="W524" s="221"/>
      <c r="X524" s="221"/>
      <c r="Y524" s="221"/>
      <c r="Z524" s="221"/>
      <c r="AA524" s="221"/>
      <c r="AB524" s="221"/>
      <c r="AC524" s="221"/>
      <c r="AD524" s="221"/>
      <c r="AE524" s="221"/>
      <c r="AF524" s="221"/>
      <c r="AG524" s="221"/>
      <c r="AH524" s="221"/>
      <c r="AI524" s="221"/>
      <c r="AJ524" s="221"/>
      <c r="AK524" s="221"/>
      <c r="AL524" s="221"/>
      <c r="AM524" s="221"/>
      <c r="AN524" s="221"/>
      <c r="AO524" s="221"/>
      <c r="AP524" s="221"/>
      <c r="AQ524" s="221"/>
      <c r="AR524" s="221"/>
      <c r="AS524" s="221"/>
      <c r="AT524" s="221"/>
      <c r="AU524" s="221"/>
      <c r="AV524" s="221"/>
      <c r="AW524" s="221"/>
    </row>
    <row r="525" spans="3:49" x14ac:dyDescent="0.25">
      <c r="C525" s="214"/>
      <c r="D525" s="36"/>
      <c r="E525" s="36"/>
      <c r="F525" s="214"/>
      <c r="G525" s="206"/>
      <c r="H525" s="206"/>
      <c r="I525" s="206"/>
      <c r="J525" s="221"/>
      <c r="K525" s="222"/>
      <c r="L525" s="221"/>
      <c r="M525" s="222"/>
      <c r="N525" s="221"/>
      <c r="O525" s="221"/>
      <c r="P525" s="221"/>
      <c r="Q525" s="221"/>
      <c r="R525" s="221"/>
      <c r="S525" s="221"/>
      <c r="T525" s="221"/>
      <c r="U525" s="221"/>
      <c r="V525" s="221"/>
      <c r="W525" s="221"/>
      <c r="X525" s="221"/>
      <c r="Y525" s="221"/>
      <c r="Z525" s="221"/>
      <c r="AA525" s="221"/>
      <c r="AB525" s="221"/>
      <c r="AC525" s="221"/>
      <c r="AD525" s="221"/>
      <c r="AE525" s="221"/>
      <c r="AF525" s="221"/>
      <c r="AG525" s="221"/>
      <c r="AH525" s="221"/>
      <c r="AI525" s="221"/>
      <c r="AJ525" s="221"/>
      <c r="AK525" s="221"/>
      <c r="AL525" s="221"/>
      <c r="AM525" s="221"/>
      <c r="AN525" s="221"/>
      <c r="AO525" s="221"/>
      <c r="AP525" s="221"/>
      <c r="AQ525" s="221"/>
      <c r="AR525" s="221"/>
      <c r="AS525" s="221"/>
      <c r="AT525" s="221"/>
      <c r="AU525" s="221"/>
      <c r="AV525" s="221"/>
      <c r="AW525" s="221"/>
    </row>
    <row r="526" spans="3:49" x14ac:dyDescent="0.25">
      <c r="C526" s="214"/>
      <c r="D526" s="36"/>
      <c r="E526" s="36"/>
      <c r="F526" s="36"/>
      <c r="G526" s="206"/>
      <c r="H526" s="206"/>
      <c r="I526" s="206"/>
      <c r="J526" s="221"/>
      <c r="K526" s="222"/>
      <c r="L526" s="221"/>
      <c r="M526" s="222"/>
      <c r="N526" s="221"/>
      <c r="O526" s="221"/>
      <c r="P526" s="221"/>
      <c r="Q526" s="221"/>
      <c r="R526" s="221"/>
      <c r="S526" s="221"/>
      <c r="T526" s="221"/>
      <c r="U526" s="221"/>
      <c r="V526" s="221"/>
      <c r="W526" s="221"/>
      <c r="X526" s="221"/>
      <c r="Y526" s="221"/>
      <c r="Z526" s="221"/>
      <c r="AA526" s="221"/>
      <c r="AB526" s="221"/>
      <c r="AC526" s="221"/>
      <c r="AD526" s="221"/>
      <c r="AE526" s="221"/>
      <c r="AF526" s="221"/>
      <c r="AG526" s="221"/>
      <c r="AH526" s="221"/>
      <c r="AI526" s="221"/>
      <c r="AJ526" s="221"/>
      <c r="AK526" s="221"/>
      <c r="AL526" s="221"/>
      <c r="AM526" s="221"/>
      <c r="AN526" s="221"/>
      <c r="AO526" s="221"/>
      <c r="AP526" s="221"/>
      <c r="AQ526" s="221"/>
      <c r="AR526" s="221"/>
      <c r="AS526" s="221"/>
      <c r="AT526" s="221"/>
      <c r="AU526" s="221"/>
      <c r="AV526" s="221"/>
      <c r="AW526" s="221"/>
    </row>
    <row r="527" spans="3:49" x14ac:dyDescent="0.25">
      <c r="C527" s="214"/>
      <c r="D527" s="36"/>
      <c r="E527" s="36"/>
      <c r="F527" s="214"/>
      <c r="G527" s="206"/>
      <c r="H527" s="206"/>
      <c r="I527" s="206"/>
      <c r="J527" s="221"/>
      <c r="K527" s="222"/>
      <c r="L527" s="221"/>
      <c r="M527" s="222"/>
      <c r="N527" s="221"/>
      <c r="O527" s="221"/>
      <c r="P527" s="221"/>
      <c r="Q527" s="221"/>
      <c r="R527" s="221"/>
      <c r="S527" s="221"/>
      <c r="T527" s="221"/>
      <c r="U527" s="221"/>
      <c r="V527" s="221"/>
      <c r="W527" s="221"/>
      <c r="X527" s="221"/>
      <c r="Y527" s="221"/>
      <c r="Z527" s="221"/>
      <c r="AA527" s="221"/>
      <c r="AB527" s="221"/>
      <c r="AC527" s="221"/>
      <c r="AD527" s="221"/>
      <c r="AE527" s="221"/>
      <c r="AF527" s="221"/>
      <c r="AG527" s="221"/>
      <c r="AH527" s="221"/>
      <c r="AI527" s="221"/>
      <c r="AJ527" s="221"/>
      <c r="AK527" s="221"/>
      <c r="AL527" s="221"/>
      <c r="AM527" s="221"/>
      <c r="AN527" s="221"/>
      <c r="AO527" s="221"/>
      <c r="AP527" s="221"/>
      <c r="AQ527" s="221"/>
      <c r="AR527" s="221"/>
      <c r="AS527" s="221"/>
      <c r="AT527" s="221"/>
      <c r="AU527" s="221"/>
      <c r="AV527" s="221"/>
      <c r="AW527" s="221"/>
    </row>
    <row r="528" spans="3:49" x14ac:dyDescent="0.25">
      <c r="C528" s="214"/>
      <c r="D528" s="36"/>
      <c r="E528" s="36"/>
      <c r="F528" s="214"/>
      <c r="G528" s="206"/>
      <c r="H528" s="206"/>
      <c r="I528" s="206"/>
      <c r="J528" s="221"/>
      <c r="K528" s="222"/>
      <c r="L528" s="221"/>
      <c r="M528" s="222"/>
      <c r="N528" s="221"/>
      <c r="O528" s="221"/>
      <c r="P528" s="221"/>
      <c r="Q528" s="221"/>
      <c r="R528" s="221"/>
      <c r="S528" s="221"/>
      <c r="T528" s="221"/>
      <c r="U528" s="221"/>
      <c r="V528" s="221"/>
      <c r="W528" s="221"/>
      <c r="X528" s="221"/>
      <c r="Y528" s="221"/>
      <c r="Z528" s="221"/>
      <c r="AA528" s="221"/>
      <c r="AB528" s="221"/>
      <c r="AC528" s="221"/>
      <c r="AD528" s="221"/>
      <c r="AE528" s="221"/>
      <c r="AF528" s="221"/>
      <c r="AG528" s="221"/>
      <c r="AH528" s="221"/>
      <c r="AI528" s="221"/>
      <c r="AJ528" s="221"/>
      <c r="AK528" s="221"/>
      <c r="AL528" s="221"/>
      <c r="AM528" s="221"/>
      <c r="AN528" s="221"/>
      <c r="AO528" s="221"/>
      <c r="AP528" s="221"/>
      <c r="AQ528" s="221"/>
      <c r="AR528" s="221"/>
      <c r="AS528" s="221"/>
      <c r="AT528" s="221"/>
      <c r="AU528" s="221"/>
      <c r="AV528" s="221"/>
      <c r="AW528" s="221"/>
    </row>
    <row r="529" spans="3:49" x14ac:dyDescent="0.25">
      <c r="C529" s="214"/>
      <c r="D529" s="36"/>
      <c r="E529" s="36"/>
      <c r="F529" s="36"/>
      <c r="G529" s="206"/>
      <c r="H529" s="206"/>
      <c r="I529" s="206"/>
      <c r="J529" s="221"/>
      <c r="K529" s="222"/>
      <c r="L529" s="221"/>
      <c r="M529" s="222"/>
      <c r="N529" s="221"/>
      <c r="O529" s="221"/>
      <c r="P529" s="221"/>
      <c r="Q529" s="221"/>
      <c r="R529" s="221"/>
      <c r="S529" s="221"/>
      <c r="T529" s="221"/>
      <c r="U529" s="221"/>
      <c r="V529" s="221"/>
      <c r="W529" s="221"/>
      <c r="X529" s="221"/>
      <c r="Y529" s="221"/>
      <c r="Z529" s="221"/>
      <c r="AA529" s="221"/>
      <c r="AB529" s="221"/>
      <c r="AC529" s="221"/>
      <c r="AD529" s="221"/>
      <c r="AE529" s="221"/>
      <c r="AF529" s="221"/>
      <c r="AG529" s="221"/>
      <c r="AH529" s="221"/>
      <c r="AI529" s="221"/>
      <c r="AJ529" s="221"/>
      <c r="AK529" s="221"/>
      <c r="AL529" s="221"/>
      <c r="AM529" s="221"/>
      <c r="AN529" s="221"/>
      <c r="AO529" s="221"/>
      <c r="AP529" s="221"/>
      <c r="AQ529" s="221"/>
      <c r="AR529" s="221"/>
      <c r="AS529" s="221"/>
      <c r="AT529" s="221"/>
      <c r="AU529" s="221"/>
      <c r="AV529" s="221"/>
      <c r="AW529" s="221"/>
    </row>
    <row r="530" spans="3:49" x14ac:dyDescent="0.25">
      <c r="C530" s="214"/>
      <c r="D530" s="36"/>
      <c r="E530" s="36"/>
      <c r="F530" s="214"/>
      <c r="G530" s="206"/>
      <c r="H530" s="206"/>
      <c r="I530" s="206"/>
      <c r="J530" s="221"/>
      <c r="K530" s="222"/>
      <c r="L530" s="221"/>
      <c r="M530" s="222"/>
      <c r="N530" s="221"/>
      <c r="O530" s="221"/>
      <c r="P530" s="221"/>
      <c r="Q530" s="221"/>
      <c r="R530" s="221"/>
      <c r="S530" s="221"/>
      <c r="T530" s="221"/>
      <c r="U530" s="221"/>
      <c r="V530" s="221"/>
      <c r="W530" s="221"/>
      <c r="X530" s="221"/>
      <c r="Y530" s="221"/>
      <c r="Z530" s="221"/>
      <c r="AA530" s="221"/>
      <c r="AB530" s="221"/>
      <c r="AC530" s="221"/>
      <c r="AD530" s="221"/>
      <c r="AE530" s="221"/>
      <c r="AF530" s="221"/>
      <c r="AG530" s="221"/>
      <c r="AH530" s="221"/>
      <c r="AI530" s="221"/>
      <c r="AJ530" s="221"/>
      <c r="AK530" s="221"/>
      <c r="AL530" s="221"/>
      <c r="AM530" s="221"/>
      <c r="AN530" s="221"/>
      <c r="AO530" s="221"/>
      <c r="AP530" s="221"/>
      <c r="AQ530" s="221"/>
      <c r="AR530" s="221"/>
      <c r="AS530" s="221"/>
      <c r="AT530" s="221"/>
      <c r="AU530" s="221"/>
      <c r="AV530" s="221"/>
      <c r="AW530" s="221"/>
    </row>
    <row r="531" spans="3:49" x14ac:dyDescent="0.25">
      <c r="C531" s="214"/>
      <c r="D531" s="36"/>
      <c r="E531" s="36"/>
      <c r="F531" s="214"/>
      <c r="G531" s="206"/>
      <c r="H531" s="206"/>
      <c r="I531" s="206"/>
      <c r="J531" s="221"/>
      <c r="K531" s="222"/>
      <c r="L531" s="221"/>
      <c r="M531" s="222"/>
      <c r="N531" s="221"/>
      <c r="O531" s="221"/>
      <c r="P531" s="221"/>
      <c r="Q531" s="221"/>
      <c r="R531" s="221"/>
      <c r="S531" s="221"/>
      <c r="T531" s="221"/>
      <c r="U531" s="221"/>
      <c r="V531" s="221"/>
      <c r="W531" s="221"/>
      <c r="X531" s="221"/>
      <c r="Y531" s="221"/>
      <c r="Z531" s="221"/>
      <c r="AA531" s="221"/>
      <c r="AB531" s="221"/>
      <c r="AC531" s="221"/>
      <c r="AD531" s="221"/>
      <c r="AE531" s="221"/>
      <c r="AF531" s="221"/>
      <c r="AG531" s="221"/>
      <c r="AH531" s="221"/>
      <c r="AI531" s="221"/>
      <c r="AJ531" s="221"/>
      <c r="AK531" s="221"/>
      <c r="AL531" s="221"/>
      <c r="AM531" s="221"/>
      <c r="AN531" s="221"/>
      <c r="AO531" s="221"/>
      <c r="AP531" s="221"/>
      <c r="AQ531" s="221"/>
      <c r="AR531" s="221"/>
      <c r="AS531" s="221"/>
      <c r="AT531" s="221"/>
      <c r="AU531" s="221"/>
      <c r="AV531" s="221"/>
      <c r="AW531" s="221"/>
    </row>
    <row r="532" spans="3:49" x14ac:dyDescent="0.25">
      <c r="C532" s="214"/>
      <c r="D532" s="36"/>
      <c r="E532" s="36"/>
      <c r="F532" s="36"/>
      <c r="G532" s="206"/>
      <c r="H532" s="206"/>
      <c r="I532" s="206"/>
      <c r="J532" s="221"/>
      <c r="K532" s="222"/>
      <c r="L532" s="221"/>
      <c r="M532" s="222"/>
      <c r="N532" s="221"/>
      <c r="O532" s="221"/>
      <c r="P532" s="221"/>
      <c r="Q532" s="221"/>
      <c r="R532" s="221"/>
      <c r="S532" s="221"/>
      <c r="T532" s="221"/>
      <c r="U532" s="221"/>
      <c r="V532" s="221"/>
      <c r="W532" s="221"/>
      <c r="X532" s="221"/>
      <c r="Y532" s="221"/>
      <c r="Z532" s="221"/>
      <c r="AA532" s="221"/>
      <c r="AB532" s="221"/>
      <c r="AC532" s="221"/>
      <c r="AD532" s="221"/>
      <c r="AE532" s="221"/>
      <c r="AF532" s="221"/>
      <c r="AG532" s="221"/>
      <c r="AH532" s="221"/>
      <c r="AI532" s="221"/>
      <c r="AJ532" s="221"/>
      <c r="AK532" s="221"/>
      <c r="AL532" s="221"/>
      <c r="AM532" s="221"/>
      <c r="AN532" s="221"/>
      <c r="AO532" s="221"/>
      <c r="AP532" s="221"/>
      <c r="AQ532" s="221"/>
      <c r="AR532" s="221"/>
      <c r="AS532" s="221"/>
      <c r="AT532" s="221"/>
      <c r="AU532" s="221"/>
      <c r="AV532" s="221"/>
      <c r="AW532" s="221"/>
    </row>
    <row r="533" spans="3:49" x14ac:dyDescent="0.25">
      <c r="C533" s="214"/>
      <c r="D533" s="36"/>
      <c r="E533" s="36"/>
      <c r="F533" s="214"/>
      <c r="G533" s="206"/>
      <c r="H533" s="206"/>
      <c r="I533" s="206"/>
      <c r="J533" s="221"/>
      <c r="K533" s="222"/>
      <c r="L533" s="221"/>
      <c r="M533" s="222"/>
      <c r="N533" s="221"/>
      <c r="O533" s="221"/>
      <c r="P533" s="221"/>
      <c r="Q533" s="221"/>
      <c r="R533" s="221"/>
      <c r="S533" s="221"/>
      <c r="T533" s="221"/>
      <c r="U533" s="221"/>
      <c r="V533" s="221"/>
      <c r="W533" s="221"/>
      <c r="X533" s="221"/>
      <c r="Y533" s="221"/>
      <c r="Z533" s="221"/>
      <c r="AA533" s="221"/>
      <c r="AB533" s="221"/>
      <c r="AC533" s="221"/>
      <c r="AD533" s="221"/>
      <c r="AE533" s="221"/>
      <c r="AF533" s="221"/>
      <c r="AG533" s="221"/>
      <c r="AH533" s="221"/>
      <c r="AI533" s="221"/>
      <c r="AJ533" s="221"/>
      <c r="AK533" s="221"/>
      <c r="AL533" s="221"/>
      <c r="AM533" s="221"/>
      <c r="AN533" s="221"/>
      <c r="AO533" s="221"/>
      <c r="AP533" s="221"/>
      <c r="AQ533" s="221"/>
      <c r="AR533" s="221"/>
      <c r="AS533" s="221"/>
      <c r="AT533" s="221"/>
      <c r="AU533" s="221"/>
      <c r="AV533" s="221"/>
      <c r="AW533" s="221"/>
    </row>
    <row r="534" spans="3:49" x14ac:dyDescent="0.25">
      <c r="C534" s="214"/>
      <c r="D534" s="36"/>
      <c r="E534" s="36"/>
      <c r="F534" s="214"/>
      <c r="G534" s="206"/>
      <c r="H534" s="206"/>
      <c r="I534" s="206"/>
      <c r="J534" s="221"/>
      <c r="K534" s="222"/>
      <c r="L534" s="221"/>
      <c r="M534" s="222"/>
      <c r="N534" s="221"/>
      <c r="O534" s="221"/>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c r="AS534" s="221"/>
      <c r="AT534" s="221"/>
      <c r="AU534" s="221"/>
      <c r="AV534" s="221"/>
      <c r="AW534" s="221"/>
    </row>
    <row r="535" spans="3:49" x14ac:dyDescent="0.25">
      <c r="C535" s="214"/>
      <c r="D535" s="36"/>
      <c r="E535" s="36"/>
      <c r="F535" s="36"/>
      <c r="G535" s="206"/>
      <c r="H535" s="206"/>
      <c r="I535" s="206"/>
      <c r="J535" s="221"/>
      <c r="K535" s="222"/>
      <c r="L535" s="221"/>
      <c r="M535" s="222"/>
      <c r="N535" s="221"/>
      <c r="O535" s="221"/>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c r="AS535" s="221"/>
      <c r="AT535" s="221"/>
      <c r="AU535" s="221"/>
      <c r="AV535" s="221"/>
      <c r="AW535" s="221"/>
    </row>
    <row r="536" spans="3:49" x14ac:dyDescent="0.25">
      <c r="C536" s="214"/>
      <c r="D536" s="36"/>
      <c r="E536" s="36"/>
      <c r="F536" s="214"/>
      <c r="G536" s="206"/>
      <c r="H536" s="206"/>
      <c r="I536" s="206"/>
      <c r="J536" s="221"/>
      <c r="K536" s="222"/>
      <c r="L536" s="221"/>
      <c r="M536" s="222"/>
      <c r="N536" s="221"/>
      <c r="O536" s="221"/>
      <c r="P536" s="221"/>
      <c r="Q536" s="221"/>
      <c r="R536" s="221"/>
      <c r="S536" s="221"/>
      <c r="T536" s="221"/>
      <c r="U536" s="221"/>
      <c r="V536" s="221"/>
      <c r="W536" s="221"/>
      <c r="X536" s="221"/>
      <c r="Y536" s="221"/>
      <c r="Z536" s="221"/>
      <c r="AA536" s="221"/>
      <c r="AB536" s="221"/>
      <c r="AC536" s="221"/>
      <c r="AD536" s="221"/>
      <c r="AE536" s="221"/>
      <c r="AF536" s="221"/>
      <c r="AG536" s="221"/>
      <c r="AH536" s="221"/>
      <c r="AI536" s="221"/>
      <c r="AJ536" s="221"/>
      <c r="AK536" s="221"/>
      <c r="AL536" s="221"/>
      <c r="AM536" s="221"/>
      <c r="AN536" s="221"/>
      <c r="AO536" s="221"/>
      <c r="AP536" s="221"/>
      <c r="AQ536" s="221"/>
      <c r="AR536" s="221"/>
      <c r="AS536" s="221"/>
      <c r="AT536" s="221"/>
      <c r="AU536" s="221"/>
      <c r="AV536" s="221"/>
      <c r="AW536" s="221"/>
    </row>
    <row r="537" spans="3:49" x14ac:dyDescent="0.25">
      <c r="C537" s="214"/>
      <c r="D537" s="36"/>
      <c r="E537" s="36"/>
      <c r="F537" s="214"/>
      <c r="G537" s="206"/>
      <c r="H537" s="206"/>
      <c r="I537" s="206"/>
      <c r="J537" s="221"/>
      <c r="K537" s="222"/>
      <c r="L537" s="221"/>
      <c r="M537" s="222"/>
      <c r="N537" s="221"/>
      <c r="O537" s="221"/>
      <c r="P537" s="221"/>
      <c r="Q537" s="221"/>
      <c r="R537" s="221"/>
      <c r="S537" s="221"/>
      <c r="T537" s="221"/>
      <c r="U537" s="221"/>
      <c r="V537" s="221"/>
      <c r="W537" s="221"/>
      <c r="X537" s="221"/>
      <c r="Y537" s="221"/>
      <c r="Z537" s="221"/>
      <c r="AA537" s="221"/>
      <c r="AB537" s="221"/>
      <c r="AC537" s="221"/>
      <c r="AD537" s="221"/>
      <c r="AE537" s="221"/>
      <c r="AF537" s="221"/>
      <c r="AG537" s="221"/>
      <c r="AH537" s="221"/>
      <c r="AI537" s="221"/>
      <c r="AJ537" s="221"/>
      <c r="AK537" s="221"/>
      <c r="AL537" s="221"/>
      <c r="AM537" s="221"/>
      <c r="AN537" s="221"/>
      <c r="AO537" s="221"/>
      <c r="AP537" s="221"/>
      <c r="AQ537" s="221"/>
      <c r="AR537" s="221"/>
      <c r="AS537" s="221"/>
      <c r="AT537" s="221"/>
      <c r="AU537" s="221"/>
      <c r="AV537" s="221"/>
      <c r="AW537" s="221"/>
    </row>
    <row r="538" spans="3:49" x14ac:dyDescent="0.25">
      <c r="C538" s="214"/>
      <c r="D538" s="36"/>
      <c r="E538" s="36"/>
      <c r="F538" s="36"/>
      <c r="G538" s="206"/>
      <c r="H538" s="206"/>
      <c r="I538" s="206"/>
      <c r="J538" s="221"/>
      <c r="K538" s="222"/>
      <c r="L538" s="221"/>
      <c r="M538" s="222"/>
      <c r="N538" s="221"/>
      <c r="O538" s="221"/>
      <c r="P538" s="221"/>
      <c r="Q538" s="221"/>
      <c r="R538" s="221"/>
      <c r="S538" s="221"/>
      <c r="T538" s="221"/>
      <c r="U538" s="221"/>
      <c r="V538" s="221"/>
      <c r="W538" s="221"/>
      <c r="X538" s="221"/>
      <c r="Y538" s="221"/>
      <c r="Z538" s="221"/>
      <c r="AA538" s="221"/>
      <c r="AB538" s="221"/>
      <c r="AC538" s="221"/>
      <c r="AD538" s="221"/>
      <c r="AE538" s="221"/>
      <c r="AF538" s="221"/>
      <c r="AG538" s="221"/>
      <c r="AH538" s="221"/>
      <c r="AI538" s="221"/>
      <c r="AJ538" s="221"/>
      <c r="AK538" s="221"/>
      <c r="AL538" s="221"/>
      <c r="AM538" s="221"/>
      <c r="AN538" s="221"/>
      <c r="AO538" s="221"/>
      <c r="AP538" s="221"/>
      <c r="AQ538" s="221"/>
      <c r="AR538" s="221"/>
      <c r="AS538" s="221"/>
      <c r="AT538" s="221"/>
      <c r="AU538" s="221"/>
      <c r="AV538" s="221"/>
      <c r="AW538" s="221"/>
    </row>
    <row r="539" spans="3:49" x14ac:dyDescent="0.25">
      <c r="C539" s="214"/>
      <c r="D539" s="36"/>
      <c r="E539" s="36"/>
      <c r="F539" s="214"/>
      <c r="G539" s="206"/>
      <c r="H539" s="206"/>
      <c r="I539" s="206"/>
      <c r="J539" s="221"/>
      <c r="K539" s="222"/>
      <c r="L539" s="221"/>
      <c r="M539" s="222"/>
      <c r="N539" s="221"/>
      <c r="O539" s="221"/>
      <c r="P539" s="221"/>
      <c r="Q539" s="221"/>
      <c r="R539" s="221"/>
      <c r="S539" s="221"/>
      <c r="T539" s="221"/>
      <c r="U539" s="221"/>
      <c r="V539" s="221"/>
      <c r="W539" s="221"/>
      <c r="X539" s="221"/>
      <c r="Y539" s="221"/>
      <c r="Z539" s="221"/>
      <c r="AA539" s="221"/>
      <c r="AB539" s="221"/>
      <c r="AC539" s="221"/>
      <c r="AD539" s="221"/>
      <c r="AE539" s="221"/>
      <c r="AF539" s="221"/>
      <c r="AG539" s="221"/>
      <c r="AH539" s="221"/>
      <c r="AI539" s="221"/>
      <c r="AJ539" s="221"/>
      <c r="AK539" s="221"/>
      <c r="AL539" s="221"/>
      <c r="AM539" s="221"/>
      <c r="AN539" s="221"/>
      <c r="AO539" s="221"/>
      <c r="AP539" s="221"/>
      <c r="AQ539" s="221"/>
      <c r="AR539" s="221"/>
      <c r="AS539" s="221"/>
      <c r="AT539" s="221"/>
      <c r="AU539" s="221"/>
      <c r="AV539" s="221"/>
      <c r="AW539" s="221"/>
    </row>
    <row r="540" spans="3:49" x14ac:dyDescent="0.25">
      <c r="C540" s="214"/>
      <c r="D540" s="36"/>
      <c r="E540" s="36"/>
      <c r="F540" s="214"/>
      <c r="G540" s="206"/>
      <c r="H540" s="206"/>
      <c r="I540" s="206"/>
      <c r="J540" s="221"/>
      <c r="K540" s="222"/>
      <c r="L540" s="221"/>
      <c r="M540" s="222"/>
      <c r="N540" s="221"/>
      <c r="O540" s="221"/>
      <c r="P540" s="221"/>
      <c r="Q540" s="221"/>
      <c r="R540" s="221"/>
      <c r="S540" s="221"/>
      <c r="T540" s="221"/>
      <c r="U540" s="221"/>
      <c r="V540" s="221"/>
      <c r="W540" s="221"/>
      <c r="X540" s="221"/>
      <c r="Y540" s="221"/>
      <c r="Z540" s="221"/>
      <c r="AA540" s="221"/>
      <c r="AB540" s="221"/>
      <c r="AC540" s="221"/>
      <c r="AD540" s="221"/>
      <c r="AE540" s="221"/>
      <c r="AF540" s="221"/>
      <c r="AG540" s="221"/>
      <c r="AH540" s="221"/>
      <c r="AI540" s="221"/>
      <c r="AJ540" s="221"/>
      <c r="AK540" s="221"/>
      <c r="AL540" s="221"/>
      <c r="AM540" s="221"/>
      <c r="AN540" s="221"/>
      <c r="AO540" s="221"/>
      <c r="AP540" s="221"/>
      <c r="AQ540" s="221"/>
      <c r="AR540" s="221"/>
      <c r="AS540" s="221"/>
      <c r="AT540" s="221"/>
      <c r="AU540" s="221"/>
      <c r="AV540" s="221"/>
      <c r="AW540" s="221"/>
    </row>
    <row r="541" spans="3:49" x14ac:dyDescent="0.25">
      <c r="C541" s="214"/>
      <c r="D541" s="36"/>
      <c r="E541" s="36"/>
      <c r="F541" s="36"/>
      <c r="G541" s="206"/>
      <c r="H541" s="206"/>
      <c r="I541" s="206"/>
      <c r="J541" s="221"/>
      <c r="K541" s="222"/>
      <c r="L541" s="221"/>
      <c r="M541" s="222"/>
      <c r="N541" s="221"/>
      <c r="O541" s="221"/>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c r="AS541" s="221"/>
      <c r="AT541" s="221"/>
      <c r="AU541" s="221"/>
      <c r="AV541" s="221"/>
      <c r="AW541" s="221"/>
    </row>
    <row r="542" spans="3:49" x14ac:dyDescent="0.25">
      <c r="C542" s="214"/>
      <c r="D542" s="36"/>
      <c r="E542" s="36"/>
      <c r="F542" s="214"/>
      <c r="G542" s="206"/>
      <c r="H542" s="206"/>
      <c r="I542" s="206"/>
      <c r="J542" s="221"/>
      <c r="K542" s="222"/>
      <c r="L542" s="221"/>
      <c r="M542" s="222"/>
      <c r="N542" s="221"/>
      <c r="O542" s="221"/>
      <c r="P542" s="221"/>
      <c r="Q542" s="221"/>
      <c r="R542" s="221"/>
      <c r="S542" s="221"/>
      <c r="T542" s="221"/>
      <c r="U542" s="221"/>
      <c r="V542" s="221"/>
      <c r="W542" s="221"/>
      <c r="X542" s="221"/>
      <c r="Y542" s="221"/>
      <c r="Z542" s="221"/>
      <c r="AA542" s="221"/>
      <c r="AB542" s="221"/>
      <c r="AC542" s="221"/>
      <c r="AD542" s="221"/>
      <c r="AE542" s="221"/>
      <c r="AF542" s="221"/>
      <c r="AG542" s="221"/>
      <c r="AH542" s="221"/>
      <c r="AI542" s="221"/>
      <c r="AJ542" s="221"/>
      <c r="AK542" s="221"/>
      <c r="AL542" s="221"/>
      <c r="AM542" s="221"/>
      <c r="AN542" s="221"/>
      <c r="AO542" s="221"/>
      <c r="AP542" s="221"/>
      <c r="AQ542" s="221"/>
      <c r="AR542" s="221"/>
      <c r="AS542" s="221"/>
      <c r="AT542" s="221"/>
      <c r="AU542" s="221"/>
      <c r="AV542" s="221"/>
      <c r="AW542" s="221"/>
    </row>
    <row r="543" spans="3:49" x14ac:dyDescent="0.25">
      <c r="C543" s="214"/>
      <c r="D543" s="36"/>
      <c r="E543" s="36"/>
      <c r="F543" s="214"/>
      <c r="G543" s="206"/>
      <c r="H543" s="206"/>
      <c r="I543" s="206"/>
      <c r="J543" s="221"/>
      <c r="K543" s="222"/>
      <c r="L543" s="221"/>
      <c r="M543" s="222"/>
      <c r="N543" s="221"/>
      <c r="O543" s="221"/>
      <c r="P543" s="221"/>
      <c r="Q543" s="221"/>
      <c r="R543" s="221"/>
      <c r="S543" s="221"/>
      <c r="T543" s="221"/>
      <c r="U543" s="221"/>
      <c r="V543" s="221"/>
      <c r="W543" s="221"/>
      <c r="X543" s="221"/>
      <c r="Y543" s="221"/>
      <c r="Z543" s="221"/>
      <c r="AA543" s="221"/>
      <c r="AB543" s="221"/>
      <c r="AC543" s="221"/>
      <c r="AD543" s="221"/>
      <c r="AE543" s="221"/>
      <c r="AF543" s="221"/>
      <c r="AG543" s="221"/>
      <c r="AH543" s="221"/>
      <c r="AI543" s="221"/>
      <c r="AJ543" s="221"/>
      <c r="AK543" s="221"/>
      <c r="AL543" s="221"/>
      <c r="AM543" s="221"/>
      <c r="AN543" s="221"/>
      <c r="AO543" s="221"/>
      <c r="AP543" s="221"/>
      <c r="AQ543" s="221"/>
      <c r="AR543" s="221"/>
      <c r="AS543" s="221"/>
      <c r="AT543" s="221"/>
      <c r="AU543" s="221"/>
      <c r="AV543" s="221"/>
      <c r="AW543" s="221"/>
    </row>
    <row r="544" spans="3:49" x14ac:dyDescent="0.25">
      <c r="C544" s="214"/>
      <c r="D544" s="36"/>
      <c r="E544" s="36"/>
      <c r="F544" s="36"/>
      <c r="G544" s="206"/>
      <c r="H544" s="206"/>
      <c r="I544" s="206"/>
      <c r="J544" s="221"/>
      <c r="K544" s="222"/>
      <c r="L544" s="221"/>
      <c r="M544" s="222"/>
      <c r="N544" s="221"/>
      <c r="O544" s="221"/>
      <c r="P544" s="221"/>
      <c r="Q544" s="221"/>
      <c r="R544" s="221"/>
      <c r="S544" s="221"/>
      <c r="T544" s="221"/>
      <c r="U544" s="221"/>
      <c r="V544" s="221"/>
      <c r="W544" s="221"/>
      <c r="X544" s="221"/>
      <c r="Y544" s="221"/>
      <c r="Z544" s="221"/>
      <c r="AA544" s="221"/>
      <c r="AB544" s="221"/>
      <c r="AC544" s="221"/>
      <c r="AD544" s="221"/>
      <c r="AE544" s="221"/>
      <c r="AF544" s="221"/>
      <c r="AG544" s="221"/>
      <c r="AH544" s="221"/>
      <c r="AI544" s="221"/>
      <c r="AJ544" s="221"/>
      <c r="AK544" s="221"/>
      <c r="AL544" s="221"/>
      <c r="AM544" s="221"/>
      <c r="AN544" s="221"/>
      <c r="AO544" s="221"/>
      <c r="AP544" s="221"/>
      <c r="AQ544" s="221"/>
      <c r="AR544" s="221"/>
      <c r="AS544" s="221"/>
      <c r="AT544" s="221"/>
      <c r="AU544" s="221"/>
      <c r="AV544" s="221"/>
      <c r="AW544" s="221"/>
    </row>
    <row r="545" spans="3:49" x14ac:dyDescent="0.25">
      <c r="C545" s="214"/>
      <c r="D545" s="36"/>
      <c r="E545" s="36"/>
      <c r="F545" s="214"/>
      <c r="G545" s="206"/>
      <c r="H545" s="206"/>
      <c r="I545" s="206"/>
      <c r="J545" s="221"/>
      <c r="K545" s="222"/>
      <c r="L545" s="221"/>
      <c r="M545" s="222"/>
      <c r="N545" s="221"/>
      <c r="O545" s="221"/>
      <c r="P545" s="221"/>
      <c r="Q545" s="221"/>
      <c r="R545" s="221"/>
      <c r="S545" s="221"/>
      <c r="T545" s="221"/>
      <c r="U545" s="221"/>
      <c r="V545" s="221"/>
      <c r="W545" s="221"/>
      <c r="X545" s="221"/>
      <c r="Y545" s="221"/>
      <c r="Z545" s="221"/>
      <c r="AA545" s="221"/>
      <c r="AB545" s="221"/>
      <c r="AC545" s="221"/>
      <c r="AD545" s="221"/>
      <c r="AE545" s="221"/>
      <c r="AF545" s="221"/>
      <c r="AG545" s="221"/>
      <c r="AH545" s="221"/>
      <c r="AI545" s="221"/>
      <c r="AJ545" s="221"/>
      <c r="AK545" s="221"/>
      <c r="AL545" s="221"/>
      <c r="AM545" s="221"/>
      <c r="AN545" s="221"/>
      <c r="AO545" s="221"/>
      <c r="AP545" s="221"/>
      <c r="AQ545" s="221"/>
      <c r="AR545" s="221"/>
      <c r="AS545" s="221"/>
      <c r="AT545" s="221"/>
      <c r="AU545" s="221"/>
      <c r="AV545" s="221"/>
      <c r="AW545" s="221"/>
    </row>
    <row r="546" spans="3:49" x14ac:dyDescent="0.25">
      <c r="C546" s="214"/>
      <c r="D546" s="36"/>
      <c r="E546" s="36"/>
      <c r="F546" s="214"/>
      <c r="G546" s="206"/>
      <c r="H546" s="206"/>
      <c r="I546" s="206"/>
      <c r="J546" s="221"/>
      <c r="K546" s="222"/>
      <c r="L546" s="221"/>
      <c r="M546" s="222"/>
      <c r="N546" s="221"/>
      <c r="O546" s="221"/>
      <c r="P546" s="221"/>
      <c r="Q546" s="221"/>
      <c r="R546" s="221"/>
      <c r="S546" s="221"/>
      <c r="T546" s="221"/>
      <c r="U546" s="221"/>
      <c r="V546" s="221"/>
      <c r="W546" s="221"/>
      <c r="X546" s="221"/>
      <c r="Y546" s="221"/>
      <c r="Z546" s="221"/>
      <c r="AA546" s="221"/>
      <c r="AB546" s="221"/>
      <c r="AC546" s="221"/>
      <c r="AD546" s="221"/>
      <c r="AE546" s="221"/>
      <c r="AF546" s="221"/>
      <c r="AG546" s="221"/>
      <c r="AH546" s="221"/>
      <c r="AI546" s="221"/>
      <c r="AJ546" s="221"/>
      <c r="AK546" s="221"/>
      <c r="AL546" s="221"/>
      <c r="AM546" s="221"/>
      <c r="AN546" s="221"/>
      <c r="AO546" s="221"/>
      <c r="AP546" s="221"/>
      <c r="AQ546" s="221"/>
      <c r="AR546" s="221"/>
      <c r="AS546" s="221"/>
      <c r="AT546" s="221"/>
      <c r="AU546" s="221"/>
      <c r="AV546" s="221"/>
      <c r="AW546" s="221"/>
    </row>
    <row r="547" spans="3:49" x14ac:dyDescent="0.25">
      <c r="C547" s="214"/>
      <c r="D547" s="36"/>
      <c r="E547" s="36"/>
      <c r="F547" s="36"/>
      <c r="G547" s="206"/>
      <c r="H547" s="206"/>
      <c r="I547" s="206"/>
      <c r="J547" s="221"/>
      <c r="K547" s="222"/>
      <c r="L547" s="221"/>
      <c r="M547" s="222"/>
      <c r="N547" s="221"/>
      <c r="O547" s="221"/>
      <c r="P547" s="221"/>
      <c r="Q547" s="221"/>
      <c r="R547" s="221"/>
      <c r="S547" s="221"/>
      <c r="T547" s="221"/>
      <c r="U547" s="221"/>
      <c r="V547" s="221"/>
      <c r="W547" s="221"/>
      <c r="X547" s="221"/>
      <c r="Y547" s="221"/>
      <c r="Z547" s="221"/>
      <c r="AA547" s="221"/>
      <c r="AB547" s="221"/>
      <c r="AC547" s="221"/>
      <c r="AD547" s="221"/>
      <c r="AE547" s="221"/>
      <c r="AF547" s="221"/>
      <c r="AG547" s="221"/>
      <c r="AH547" s="221"/>
      <c r="AI547" s="221"/>
      <c r="AJ547" s="221"/>
      <c r="AK547" s="221"/>
      <c r="AL547" s="221"/>
      <c r="AM547" s="221"/>
      <c r="AN547" s="221"/>
      <c r="AO547" s="221"/>
      <c r="AP547" s="221"/>
      <c r="AQ547" s="221"/>
      <c r="AR547" s="221"/>
      <c r="AS547" s="221"/>
      <c r="AT547" s="221"/>
      <c r="AU547" s="221"/>
      <c r="AV547" s="221"/>
      <c r="AW547" s="221"/>
    </row>
    <row r="548" spans="3:49" x14ac:dyDescent="0.25">
      <c r="C548" s="214"/>
      <c r="D548" s="36"/>
      <c r="E548" s="36"/>
      <c r="F548" s="214"/>
      <c r="G548" s="206"/>
      <c r="H548" s="206"/>
      <c r="I548" s="206"/>
      <c r="J548" s="221"/>
      <c r="K548" s="222"/>
      <c r="L548" s="221"/>
      <c r="M548" s="222"/>
      <c r="N548" s="221"/>
      <c r="O548" s="221"/>
      <c r="P548" s="221"/>
      <c r="Q548" s="221"/>
      <c r="R548" s="221"/>
      <c r="S548" s="221"/>
      <c r="T548" s="221"/>
      <c r="U548" s="221"/>
      <c r="V548" s="221"/>
      <c r="W548" s="221"/>
      <c r="X548" s="221"/>
      <c r="Y548" s="221"/>
      <c r="Z548" s="221"/>
      <c r="AA548" s="221"/>
      <c r="AB548" s="221"/>
      <c r="AC548" s="221"/>
      <c r="AD548" s="221"/>
      <c r="AE548" s="221"/>
      <c r="AF548" s="221"/>
      <c r="AG548" s="221"/>
      <c r="AH548" s="221"/>
      <c r="AI548" s="221"/>
      <c r="AJ548" s="221"/>
      <c r="AK548" s="221"/>
      <c r="AL548" s="221"/>
      <c r="AM548" s="221"/>
      <c r="AN548" s="221"/>
      <c r="AO548" s="221"/>
      <c r="AP548" s="221"/>
      <c r="AQ548" s="221"/>
      <c r="AR548" s="221"/>
      <c r="AS548" s="221"/>
      <c r="AT548" s="221"/>
      <c r="AU548" s="221"/>
      <c r="AV548" s="221"/>
      <c r="AW548" s="221"/>
    </row>
    <row r="549" spans="3:49" x14ac:dyDescent="0.25">
      <c r="C549" s="214"/>
      <c r="D549" s="36"/>
      <c r="E549" s="36"/>
      <c r="F549" s="214"/>
      <c r="G549" s="206"/>
      <c r="H549" s="206"/>
      <c r="I549" s="206"/>
      <c r="J549" s="221"/>
      <c r="K549" s="222"/>
      <c r="L549" s="221"/>
      <c r="M549" s="222"/>
      <c r="N549" s="221"/>
      <c r="O549" s="221"/>
      <c r="P549" s="221"/>
      <c r="Q549" s="221"/>
      <c r="R549" s="221"/>
      <c r="S549" s="221"/>
      <c r="T549" s="221"/>
      <c r="U549" s="221"/>
      <c r="V549" s="221"/>
      <c r="W549" s="221"/>
      <c r="X549" s="221"/>
      <c r="Y549" s="221"/>
      <c r="Z549" s="221"/>
      <c r="AA549" s="221"/>
      <c r="AB549" s="221"/>
      <c r="AC549" s="221"/>
      <c r="AD549" s="221"/>
      <c r="AE549" s="221"/>
      <c r="AF549" s="221"/>
      <c r="AG549" s="221"/>
      <c r="AH549" s="221"/>
      <c r="AI549" s="221"/>
      <c r="AJ549" s="221"/>
      <c r="AK549" s="221"/>
      <c r="AL549" s="221"/>
      <c r="AM549" s="221"/>
      <c r="AN549" s="221"/>
      <c r="AO549" s="221"/>
      <c r="AP549" s="221"/>
      <c r="AQ549" s="221"/>
      <c r="AR549" s="221"/>
      <c r="AS549" s="221"/>
      <c r="AT549" s="221"/>
      <c r="AU549" s="221"/>
      <c r="AV549" s="221"/>
      <c r="AW549" s="221"/>
    </row>
    <row r="550" spans="3:49" x14ac:dyDescent="0.25">
      <c r="C550" s="214"/>
      <c r="D550" s="36"/>
      <c r="E550" s="36"/>
      <c r="F550" s="36"/>
      <c r="G550" s="206"/>
      <c r="H550" s="206"/>
      <c r="I550" s="206"/>
      <c r="J550" s="221"/>
      <c r="K550" s="222"/>
      <c r="L550" s="221"/>
      <c r="M550" s="222"/>
      <c r="N550" s="221"/>
      <c r="O550" s="221"/>
      <c r="P550" s="221"/>
      <c r="Q550" s="221"/>
      <c r="R550" s="221"/>
      <c r="S550" s="221"/>
      <c r="T550" s="221"/>
      <c r="U550" s="221"/>
      <c r="V550" s="221"/>
      <c r="W550" s="221"/>
      <c r="X550" s="221"/>
      <c r="Y550" s="221"/>
      <c r="Z550" s="221"/>
      <c r="AA550" s="221"/>
      <c r="AB550" s="221"/>
      <c r="AC550" s="221"/>
      <c r="AD550" s="221"/>
      <c r="AE550" s="221"/>
      <c r="AF550" s="221"/>
      <c r="AG550" s="221"/>
      <c r="AH550" s="221"/>
      <c r="AI550" s="221"/>
      <c r="AJ550" s="221"/>
      <c r="AK550" s="221"/>
      <c r="AL550" s="221"/>
      <c r="AM550" s="221"/>
      <c r="AN550" s="221"/>
      <c r="AO550" s="221"/>
      <c r="AP550" s="221"/>
      <c r="AQ550" s="221"/>
      <c r="AR550" s="221"/>
      <c r="AS550" s="221"/>
      <c r="AT550" s="221"/>
      <c r="AU550" s="221"/>
      <c r="AV550" s="221"/>
      <c r="AW550" s="221"/>
    </row>
  </sheetData>
  <sheetProtection sort="0" autoFilter="0"/>
  <dataValidations count="1">
    <dataValidation allowBlank="1" showInputMessage="1" showErrorMessage="1" promptTitle="- select tenant -" sqref="A1"/>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114"/>
  <sheetViews>
    <sheetView topLeftCell="A61" zoomScale="85" zoomScaleNormal="85" workbookViewId="0">
      <selection activeCell="C66" sqref="C66:H67"/>
    </sheetView>
  </sheetViews>
  <sheetFormatPr defaultRowHeight="15" outlineLevelRow="1" x14ac:dyDescent="0.25"/>
  <cols>
    <col min="1" max="1" width="2.42578125" customWidth="1"/>
    <col min="2" max="3" width="26" customWidth="1"/>
    <col min="4" max="4" width="10.85546875" customWidth="1"/>
    <col min="5" max="6" width="26" customWidth="1"/>
    <col min="7" max="7" width="10.85546875" style="47" customWidth="1"/>
    <col min="8" max="9" width="26" customWidth="1"/>
    <col min="10" max="10" width="2.42578125" style="47" customWidth="1"/>
    <col min="11" max="11" width="9.140625" style="47"/>
    <col min="12" max="12" width="1.140625" style="47" customWidth="1"/>
    <col min="13" max="13" width="9.140625" style="47"/>
    <col min="14" max="14" width="17.5703125" style="47" bestFit="1" customWidth="1"/>
    <col min="15" max="15" width="9.140625" style="47"/>
    <col min="16" max="16" width="15" style="47" customWidth="1"/>
    <col min="17" max="17" width="9.140625" style="47"/>
    <col min="18" max="18" width="1" style="47" customWidth="1"/>
    <col min="19" max="21" width="9.140625" style="47"/>
    <col min="22" max="22" width="24.28515625" style="47" bestFit="1" customWidth="1"/>
    <col min="23" max="23" width="10.85546875" style="47" bestFit="1" customWidth="1"/>
    <col min="24" max="16384" width="9.140625" style="47"/>
  </cols>
  <sheetData>
    <row r="1" spans="2:14" ht="26.25" x14ac:dyDescent="0.4">
      <c r="B1" t="s">
        <v>376</v>
      </c>
      <c r="C1" s="289" t="s">
        <v>184</v>
      </c>
      <c r="D1" s="289"/>
      <c r="E1" s="289"/>
      <c r="F1" s="289"/>
      <c r="G1" s="289"/>
      <c r="H1" s="289"/>
      <c r="I1" s="12"/>
      <c r="J1" s="46"/>
    </row>
    <row r="2" spans="2:14" ht="6.75" customHeight="1" x14ac:dyDescent="0.25"/>
    <row r="3" spans="2:14" ht="33.75" customHeight="1" outlineLevel="1" x14ac:dyDescent="0.35">
      <c r="B3" s="254" t="s">
        <v>4393</v>
      </c>
      <c r="C3" s="254"/>
      <c r="D3" s="254"/>
      <c r="E3" s="254"/>
      <c r="F3" s="254"/>
      <c r="G3" s="254"/>
      <c r="H3" s="254"/>
      <c r="I3" s="254"/>
    </row>
    <row r="4" spans="2:14" ht="9.9499999999999993" customHeight="1" outlineLevel="1" x14ac:dyDescent="0.25"/>
    <row r="5" spans="2:14" ht="15.75" outlineLevel="1" x14ac:dyDescent="0.25">
      <c r="B5" s="280" t="s">
        <v>368</v>
      </c>
      <c r="C5" s="281"/>
      <c r="E5" s="280" t="s">
        <v>377</v>
      </c>
      <c r="F5" s="281"/>
      <c r="G5" s="48"/>
      <c r="H5" s="280" t="s">
        <v>624</v>
      </c>
      <c r="I5" s="281"/>
      <c r="J5" s="48"/>
    </row>
    <row r="6" spans="2:14" outlineLevel="1" x14ac:dyDescent="0.25">
      <c r="B6" s="28" t="s">
        <v>369</v>
      </c>
      <c r="C6" s="34" t="e">
        <f>C7+C12</f>
        <v>#REF!</v>
      </c>
      <c r="E6" s="28" t="s">
        <v>369</v>
      </c>
      <c r="F6" s="34" t="e">
        <f>F7+F12</f>
        <v>#REF!</v>
      </c>
      <c r="G6" s="49"/>
      <c r="H6" s="28" t="s">
        <v>639</v>
      </c>
      <c r="I6" s="28" t="e">
        <f>I7+I12</f>
        <v>#REF!</v>
      </c>
      <c r="J6" s="49"/>
    </row>
    <row r="7" spans="2:14" outlineLevel="1" x14ac:dyDescent="0.25">
      <c r="B7" s="29" t="s">
        <v>370</v>
      </c>
      <c r="C7" s="30" t="e">
        <f>SUM(C8:C11)</f>
        <v>#REF!</v>
      </c>
      <c r="E7" s="29" t="s">
        <v>370</v>
      </c>
      <c r="F7" s="30" t="e">
        <f>SUM(F8:F11)</f>
        <v>#REF!</v>
      </c>
      <c r="G7" s="51"/>
      <c r="H7" s="29" t="s">
        <v>370</v>
      </c>
      <c r="I7" s="30" t="e">
        <f>SUM(I8:I11)</f>
        <v>#REF!</v>
      </c>
      <c r="J7" s="51"/>
    </row>
    <row r="8" spans="2:14" outlineLevel="1" x14ac:dyDescent="0.25">
      <c r="B8" s="10" t="s">
        <v>371</v>
      </c>
      <c r="C8" s="9" t="e">
        <f>VLOOKUP(C1,#REF!,3,FALSE)</f>
        <v>#REF!</v>
      </c>
      <c r="E8" s="10" t="s">
        <v>371</v>
      </c>
      <c r="F8" s="9" t="e">
        <f>VLOOKUP(C1,#REF!,19,FALSE)</f>
        <v>#REF!</v>
      </c>
      <c r="G8" s="51"/>
      <c r="H8" s="10" t="s">
        <v>371</v>
      </c>
      <c r="I8" s="9" t="e">
        <f>VLOOKUP(C1,#REF!,48,FALSE)</f>
        <v>#REF!</v>
      </c>
      <c r="J8" s="51"/>
    </row>
    <row r="9" spans="2:14" outlineLevel="1" x14ac:dyDescent="0.25">
      <c r="B9" s="10" t="s">
        <v>372</v>
      </c>
      <c r="C9" s="9" t="e">
        <f>VLOOKUP(C1,#REF!,4,FALSE)</f>
        <v>#REF!</v>
      </c>
      <c r="E9" s="10" t="s">
        <v>372</v>
      </c>
      <c r="F9" s="9" t="e">
        <f>VLOOKUP(C1,#REF!,20,FALSE)</f>
        <v>#REF!</v>
      </c>
      <c r="G9" s="51"/>
      <c r="H9" s="10" t="s">
        <v>372</v>
      </c>
      <c r="I9" s="9" t="e">
        <f>VLOOKUP(C1,#REF!,49,FALSE)</f>
        <v>#REF!</v>
      </c>
      <c r="J9" s="51"/>
    </row>
    <row r="10" spans="2:14" outlineLevel="1" x14ac:dyDescent="0.25">
      <c r="B10" s="10" t="s">
        <v>373</v>
      </c>
      <c r="C10" s="9" t="e">
        <f>VLOOKUP(C1,#REF!,5,FALSE)</f>
        <v>#REF!</v>
      </c>
      <c r="E10" s="10" t="s">
        <v>373</v>
      </c>
      <c r="F10" s="9" t="e">
        <f>VLOOKUP(C1,#REF!,21,FALSE)</f>
        <v>#REF!</v>
      </c>
      <c r="G10" s="51"/>
      <c r="H10" s="10" t="s">
        <v>373</v>
      </c>
      <c r="I10" s="9" t="e">
        <f>VLOOKUP(C1,#REF!,50,FALSE)</f>
        <v>#REF!</v>
      </c>
      <c r="J10" s="51"/>
    </row>
    <row r="11" spans="2:14" outlineLevel="1" x14ac:dyDescent="0.25">
      <c r="B11" s="10" t="s">
        <v>374</v>
      </c>
      <c r="C11" s="9" t="e">
        <f>VLOOKUP(C1,#REF!,6,FALSE)</f>
        <v>#REF!</v>
      </c>
      <c r="E11" s="10" t="s">
        <v>374</v>
      </c>
      <c r="F11" s="9" t="e">
        <f>VLOOKUP(C1,#REF!,22,FALSE)</f>
        <v>#REF!</v>
      </c>
      <c r="G11" s="51"/>
      <c r="H11" s="10" t="s">
        <v>374</v>
      </c>
      <c r="I11" s="9" t="e">
        <f>VLOOKUP(C1,#REF!,51,FALSE)</f>
        <v>#REF!</v>
      </c>
      <c r="J11" s="51"/>
      <c r="N11" s="78"/>
    </row>
    <row r="12" spans="2:14" outlineLevel="1" x14ac:dyDescent="0.25">
      <c r="B12" s="29" t="s">
        <v>375</v>
      </c>
      <c r="C12" s="30" t="e">
        <f>SUM(C13:C16)</f>
        <v>#REF!</v>
      </c>
      <c r="E12" s="29" t="s">
        <v>375</v>
      </c>
      <c r="F12" s="30" t="e">
        <f>SUM(F13:F16)</f>
        <v>#REF!</v>
      </c>
      <c r="G12" s="51"/>
      <c r="H12" s="29" t="s">
        <v>375</v>
      </c>
      <c r="I12" s="30" t="e">
        <f>SUM(I13:I16)</f>
        <v>#REF!</v>
      </c>
      <c r="J12" s="51"/>
    </row>
    <row r="13" spans="2:14" outlineLevel="1" x14ac:dyDescent="0.25">
      <c r="B13" s="10" t="s">
        <v>371</v>
      </c>
      <c r="C13" s="9" t="e">
        <f>VLOOKUP(C1,#REF!,7,FALSE)</f>
        <v>#REF!</v>
      </c>
      <c r="E13" s="10" t="s">
        <v>371</v>
      </c>
      <c r="F13" s="9" t="e">
        <f>VLOOKUP(C1,#REF!,23,FALSE)</f>
        <v>#REF!</v>
      </c>
      <c r="G13" s="51"/>
      <c r="H13" s="10" t="s">
        <v>371</v>
      </c>
      <c r="I13" s="9" t="e">
        <f>VLOOKUP(C1,#REF!,52,FALSE)</f>
        <v>#REF!</v>
      </c>
      <c r="J13" s="51"/>
    </row>
    <row r="14" spans="2:14" outlineLevel="1" x14ac:dyDescent="0.25">
      <c r="B14" s="10" t="s">
        <v>372</v>
      </c>
      <c r="C14" s="9" t="e">
        <f>VLOOKUP(C1,#REF!,8,FALSE)</f>
        <v>#REF!</v>
      </c>
      <c r="E14" s="10" t="s">
        <v>372</v>
      </c>
      <c r="F14" s="9" t="e">
        <f>VLOOKUP(C1,#REF!,24,FALSE)</f>
        <v>#REF!</v>
      </c>
      <c r="G14" s="51"/>
      <c r="H14" s="10" t="s">
        <v>372</v>
      </c>
      <c r="I14" s="9" t="e">
        <f>VLOOKUP(C1,#REF!,53,FALSE)</f>
        <v>#REF!</v>
      </c>
      <c r="J14" s="51"/>
    </row>
    <row r="15" spans="2:14" outlineLevel="1" x14ac:dyDescent="0.25">
      <c r="B15" s="10" t="s">
        <v>373</v>
      </c>
      <c r="C15" s="9" t="e">
        <f>VLOOKUP(C1,#REF!,9,FALSE)</f>
        <v>#REF!</v>
      </c>
      <c r="E15" s="10" t="s">
        <v>373</v>
      </c>
      <c r="F15" s="9" t="e">
        <f>VLOOKUP(C1,#REF!,25,FALSE)</f>
        <v>#REF!</v>
      </c>
      <c r="G15" s="51"/>
      <c r="H15" s="10" t="s">
        <v>373</v>
      </c>
      <c r="I15" s="9" t="e">
        <f>VLOOKUP(C1,#REF!,54,FALSE)</f>
        <v>#REF!</v>
      </c>
      <c r="J15" s="51"/>
    </row>
    <row r="16" spans="2:14" outlineLevel="1" x14ac:dyDescent="0.25">
      <c r="B16" s="10" t="s">
        <v>374</v>
      </c>
      <c r="C16" s="9" t="e">
        <f>VLOOKUP(C1,#REF!,10,FALSE)</f>
        <v>#REF!</v>
      </c>
      <c r="E16" s="10" t="s">
        <v>374</v>
      </c>
      <c r="F16" s="9" t="e">
        <f>VLOOKUP(C1,#REF!,26,FALSE)</f>
        <v>#REF!</v>
      </c>
      <c r="G16" s="51"/>
      <c r="H16" s="10" t="s">
        <v>374</v>
      </c>
      <c r="I16" s="9" t="e">
        <f>VLOOKUP(C1,#REF!,55,FALSE)</f>
        <v>#REF!</v>
      </c>
      <c r="J16" s="51"/>
    </row>
    <row r="17" spans="2:23" ht="6.75" customHeight="1" outlineLevel="1" x14ac:dyDescent="0.25"/>
    <row r="18" spans="2:23" ht="33.75" customHeight="1" outlineLevel="1" x14ac:dyDescent="0.35">
      <c r="B18" s="254" t="s">
        <v>4394</v>
      </c>
      <c r="C18" s="254"/>
      <c r="D18" s="254"/>
      <c r="E18" s="254"/>
      <c r="F18" s="254"/>
      <c r="G18" s="254"/>
      <c r="H18" s="254"/>
      <c r="I18" s="254"/>
    </row>
    <row r="19" spans="2:23" ht="31.5" customHeight="1" outlineLevel="1" x14ac:dyDescent="0.25">
      <c r="B19" s="292" t="s">
        <v>814</v>
      </c>
      <c r="C19" s="293"/>
      <c r="D19" s="293"/>
      <c r="E19" s="293"/>
      <c r="F19" s="293"/>
      <c r="G19" s="293"/>
      <c r="H19" s="293"/>
      <c r="I19" s="293"/>
      <c r="J19" s="54"/>
      <c r="W19" s="77"/>
    </row>
    <row r="20" spans="2:23" ht="9.9499999999999993" customHeight="1" outlineLevel="1" x14ac:dyDescent="0.25">
      <c r="B20" s="75"/>
      <c r="C20" s="76"/>
      <c r="E20" s="75"/>
      <c r="F20" s="76"/>
      <c r="G20" s="54"/>
      <c r="H20" s="75"/>
      <c r="I20" s="76"/>
      <c r="J20" s="54"/>
      <c r="W20" s="77"/>
    </row>
    <row r="21" spans="2:23" ht="15.75" outlineLevel="1" x14ac:dyDescent="0.25">
      <c r="B21" s="280" t="s">
        <v>368</v>
      </c>
      <c r="C21" s="281"/>
      <c r="E21" s="280" t="s">
        <v>377</v>
      </c>
      <c r="F21" s="281"/>
      <c r="G21" s="48"/>
      <c r="H21" s="280" t="s">
        <v>624</v>
      </c>
      <c r="I21" s="281"/>
      <c r="J21" s="48"/>
    </row>
    <row r="22" spans="2:23" ht="17.25" outlineLevel="1" x14ac:dyDescent="0.25">
      <c r="B22" s="28" t="s">
        <v>809</v>
      </c>
      <c r="C22" s="111" t="e">
        <f>IF(C6&gt;0,"N/A",C38/$C$33)</f>
        <v>#REF!</v>
      </c>
      <c r="E22" s="28" t="s">
        <v>809</v>
      </c>
      <c r="F22" s="111" t="e">
        <f t="shared" ref="F22:F32" si="0">F38/$F$33</f>
        <v>#REF!</v>
      </c>
      <c r="G22" s="54"/>
      <c r="H22" s="28" t="s">
        <v>812</v>
      </c>
      <c r="I22" s="111" t="e">
        <f t="shared" ref="I22:I32" si="1">I38/$I$33</f>
        <v>#REF!</v>
      </c>
      <c r="J22" s="54"/>
      <c r="W22" s="77"/>
    </row>
    <row r="23" spans="2:23" outlineLevel="1" x14ac:dyDescent="0.25">
      <c r="B23" s="29" t="s">
        <v>370</v>
      </c>
      <c r="C23" s="112" t="e">
        <f t="shared" ref="C23:C31" si="2">IF(C7&gt;0,"N/A",C39/$C$33)</f>
        <v>#REF!</v>
      </c>
      <c r="E23" s="29" t="s">
        <v>370</v>
      </c>
      <c r="F23" s="112" t="e">
        <f t="shared" si="0"/>
        <v>#REF!</v>
      </c>
      <c r="G23" s="54"/>
      <c r="H23" s="29" t="s">
        <v>370</v>
      </c>
      <c r="I23" s="112" t="e">
        <f t="shared" si="1"/>
        <v>#REF!</v>
      </c>
      <c r="J23" s="54"/>
      <c r="W23" s="77"/>
    </row>
    <row r="24" spans="2:23" outlineLevel="1" x14ac:dyDescent="0.25">
      <c r="B24" s="10" t="s">
        <v>371</v>
      </c>
      <c r="C24" s="113" t="e">
        <f t="shared" si="2"/>
        <v>#REF!</v>
      </c>
      <c r="E24" s="10" t="s">
        <v>371</v>
      </c>
      <c r="F24" s="113" t="e">
        <f t="shared" si="0"/>
        <v>#REF!</v>
      </c>
      <c r="G24" s="54"/>
      <c r="H24" s="10" t="s">
        <v>371</v>
      </c>
      <c r="I24" s="113" t="e">
        <f>I40/$I$33</f>
        <v>#REF!</v>
      </c>
      <c r="J24" s="54"/>
      <c r="W24" s="77"/>
    </row>
    <row r="25" spans="2:23" outlineLevel="1" x14ac:dyDescent="0.25">
      <c r="B25" s="10" t="s">
        <v>372</v>
      </c>
      <c r="C25" s="113" t="e">
        <f t="shared" si="2"/>
        <v>#REF!</v>
      </c>
      <c r="E25" s="10" t="s">
        <v>372</v>
      </c>
      <c r="F25" s="113" t="e">
        <f t="shared" si="0"/>
        <v>#REF!</v>
      </c>
      <c r="G25" s="54"/>
      <c r="H25" s="10" t="s">
        <v>372</v>
      </c>
      <c r="I25" s="113" t="e">
        <f t="shared" si="1"/>
        <v>#REF!</v>
      </c>
      <c r="J25" s="54"/>
    </row>
    <row r="26" spans="2:23" outlineLevel="1" x14ac:dyDescent="0.25">
      <c r="B26" s="10" t="s">
        <v>373</v>
      </c>
      <c r="C26" s="113" t="e">
        <f t="shared" si="2"/>
        <v>#REF!</v>
      </c>
      <c r="E26" s="10" t="s">
        <v>373</v>
      </c>
      <c r="F26" s="113" t="e">
        <f t="shared" si="0"/>
        <v>#REF!</v>
      </c>
      <c r="G26" s="54"/>
      <c r="H26" s="10" t="s">
        <v>373</v>
      </c>
      <c r="I26" s="113" t="e">
        <f t="shared" si="1"/>
        <v>#REF!</v>
      </c>
      <c r="J26" s="54"/>
    </row>
    <row r="27" spans="2:23" outlineLevel="1" x14ac:dyDescent="0.25">
      <c r="B27" s="10" t="s">
        <v>374</v>
      </c>
      <c r="C27" s="113" t="e">
        <f t="shared" si="2"/>
        <v>#REF!</v>
      </c>
      <c r="E27" s="10" t="s">
        <v>374</v>
      </c>
      <c r="F27" s="113" t="e">
        <f t="shared" si="0"/>
        <v>#REF!</v>
      </c>
      <c r="G27" s="54"/>
      <c r="H27" s="10" t="s">
        <v>374</v>
      </c>
      <c r="I27" s="113" t="e">
        <f t="shared" si="1"/>
        <v>#REF!</v>
      </c>
      <c r="J27" s="54"/>
    </row>
    <row r="28" spans="2:23" outlineLevel="1" x14ac:dyDescent="0.25">
      <c r="B28" s="29" t="s">
        <v>375</v>
      </c>
      <c r="C28" s="112" t="e">
        <f t="shared" si="2"/>
        <v>#REF!</v>
      </c>
      <c r="E28" s="29" t="s">
        <v>375</v>
      </c>
      <c r="F28" s="112" t="e">
        <f t="shared" si="0"/>
        <v>#REF!</v>
      </c>
      <c r="G28" s="54"/>
      <c r="H28" s="29" t="s">
        <v>375</v>
      </c>
      <c r="I28" s="112" t="e">
        <f t="shared" si="1"/>
        <v>#REF!</v>
      </c>
      <c r="J28" s="54"/>
    </row>
    <row r="29" spans="2:23" outlineLevel="1" x14ac:dyDescent="0.25">
      <c r="B29" s="10" t="s">
        <v>371</v>
      </c>
      <c r="C29" s="113" t="e">
        <f t="shared" si="2"/>
        <v>#REF!</v>
      </c>
      <c r="E29" s="10" t="s">
        <v>371</v>
      </c>
      <c r="F29" s="113" t="e">
        <f t="shared" si="0"/>
        <v>#REF!</v>
      </c>
      <c r="G29" s="54"/>
      <c r="H29" s="10" t="s">
        <v>371</v>
      </c>
      <c r="I29" s="113" t="e">
        <f t="shared" si="1"/>
        <v>#REF!</v>
      </c>
      <c r="J29" s="54"/>
    </row>
    <row r="30" spans="2:23" outlineLevel="1" x14ac:dyDescent="0.25">
      <c r="B30" s="10" t="s">
        <v>372</v>
      </c>
      <c r="C30" s="113" t="e">
        <f t="shared" si="2"/>
        <v>#REF!</v>
      </c>
      <c r="E30" s="10" t="s">
        <v>372</v>
      </c>
      <c r="F30" s="113" t="e">
        <f t="shared" si="0"/>
        <v>#REF!</v>
      </c>
      <c r="G30" s="54"/>
      <c r="H30" s="10" t="s">
        <v>372</v>
      </c>
      <c r="I30" s="113" t="e">
        <f t="shared" si="1"/>
        <v>#REF!</v>
      </c>
      <c r="J30" s="54"/>
    </row>
    <row r="31" spans="2:23" outlineLevel="1" x14ac:dyDescent="0.25">
      <c r="B31" s="10" t="s">
        <v>373</v>
      </c>
      <c r="C31" s="113" t="e">
        <f t="shared" si="2"/>
        <v>#REF!</v>
      </c>
      <c r="E31" s="10" t="s">
        <v>373</v>
      </c>
      <c r="F31" s="113" t="e">
        <f t="shared" si="0"/>
        <v>#REF!</v>
      </c>
      <c r="G31" s="54"/>
      <c r="H31" s="10" t="s">
        <v>373</v>
      </c>
      <c r="I31" s="113" t="e">
        <f t="shared" si="1"/>
        <v>#REF!</v>
      </c>
      <c r="J31" s="54"/>
    </row>
    <row r="32" spans="2:23" outlineLevel="1" x14ac:dyDescent="0.25">
      <c r="B32" s="10" t="s">
        <v>374</v>
      </c>
      <c r="C32" s="113" t="e">
        <f>IF(C16&gt;0,"N/A",C48/$C$33)</f>
        <v>#REF!</v>
      </c>
      <c r="E32" s="10" t="s">
        <v>374</v>
      </c>
      <c r="F32" s="113" t="e">
        <f t="shared" si="0"/>
        <v>#REF!</v>
      </c>
      <c r="G32" s="54"/>
      <c r="H32" s="10" t="s">
        <v>374</v>
      </c>
      <c r="I32" s="113" t="e">
        <f t="shared" si="1"/>
        <v>#REF!</v>
      </c>
      <c r="J32" s="54"/>
    </row>
    <row r="33" spans="2:23" ht="33.75" customHeight="1" outlineLevel="1" x14ac:dyDescent="0.25">
      <c r="B33" s="75" t="s">
        <v>810</v>
      </c>
      <c r="C33" s="76">
        <v>0.12839999999999999</v>
      </c>
      <c r="E33" s="75" t="s">
        <v>810</v>
      </c>
      <c r="F33" s="76">
        <v>2.4978E-2</v>
      </c>
      <c r="G33" s="54"/>
      <c r="H33" s="75" t="s">
        <v>811</v>
      </c>
      <c r="I33" s="76">
        <v>2.5569600000000001</v>
      </c>
    </row>
    <row r="34" spans="2:23" ht="6.75" customHeight="1" outlineLevel="1" x14ac:dyDescent="0.25"/>
    <row r="35" spans="2:23" ht="33.75" customHeight="1" outlineLevel="1" x14ac:dyDescent="0.35">
      <c r="B35" s="254" t="s">
        <v>4395</v>
      </c>
      <c r="C35" s="254"/>
      <c r="D35" s="254"/>
      <c r="E35" s="254"/>
      <c r="F35" s="254"/>
      <c r="G35" s="254"/>
      <c r="H35" s="254"/>
      <c r="I35" s="254"/>
    </row>
    <row r="36" spans="2:23" ht="9.9499999999999993" customHeight="1" outlineLevel="1" x14ac:dyDescent="0.25"/>
    <row r="37" spans="2:23" ht="15.75" outlineLevel="1" x14ac:dyDescent="0.25">
      <c r="B37" s="280" t="s">
        <v>368</v>
      </c>
      <c r="C37" s="281"/>
      <c r="E37" s="280" t="s">
        <v>377</v>
      </c>
      <c r="F37" s="281"/>
      <c r="G37" s="48"/>
      <c r="H37" s="280" t="s">
        <v>624</v>
      </c>
      <c r="I37" s="281"/>
      <c r="J37" s="48"/>
    </row>
    <row r="38" spans="2:23" ht="15" customHeight="1" outlineLevel="1" x14ac:dyDescent="0.25">
      <c r="B38" s="28" t="s">
        <v>640</v>
      </c>
      <c r="C38" s="31" t="e">
        <f>SUM(C39,C44)</f>
        <v>#REF!</v>
      </c>
      <c r="E38" s="28" t="s">
        <v>640</v>
      </c>
      <c r="F38" s="31" t="e">
        <f>SUM(F44,F39)</f>
        <v>#REF!</v>
      </c>
      <c r="G38" s="53"/>
      <c r="H38" s="28" t="s">
        <v>640</v>
      </c>
      <c r="I38" s="31" t="e">
        <f>SUM(I44,I39)</f>
        <v>#REF!</v>
      </c>
      <c r="J38" s="53"/>
    </row>
    <row r="39" spans="2:23" ht="15" customHeight="1" outlineLevel="1" x14ac:dyDescent="0.25">
      <c r="B39" s="29" t="s">
        <v>370</v>
      </c>
      <c r="C39" s="32" t="e">
        <f>SUM(C40:C43)</f>
        <v>#REF!</v>
      </c>
      <c r="E39" s="29" t="s">
        <v>370</v>
      </c>
      <c r="F39" s="32" t="e">
        <f>SUM(F40:F43)</f>
        <v>#REF!</v>
      </c>
      <c r="G39" s="54"/>
      <c r="H39" s="29" t="s">
        <v>370</v>
      </c>
      <c r="I39" s="32" t="e">
        <f>SUM(I40:I43)</f>
        <v>#REF!</v>
      </c>
      <c r="J39" s="54"/>
      <c r="W39" s="77"/>
    </row>
    <row r="40" spans="2:23" outlineLevel="1" x14ac:dyDescent="0.25">
      <c r="B40" s="10" t="s">
        <v>371</v>
      </c>
      <c r="C40" s="33" t="e">
        <f>VLOOKUP(C1,#REF!,11,FALSE)</f>
        <v>#REF!</v>
      </c>
      <c r="E40" s="10" t="s">
        <v>371</v>
      </c>
      <c r="F40" s="33" t="e">
        <f>VLOOKUP(C1,#REF!,27,FALSE)</f>
        <v>#REF!</v>
      </c>
      <c r="G40" s="54"/>
      <c r="H40" s="10" t="s">
        <v>371</v>
      </c>
      <c r="I40" s="33" t="e">
        <f>VLOOKUP(C1,#REF!,56,FALSE)</f>
        <v>#REF!</v>
      </c>
      <c r="J40" s="54"/>
      <c r="W40" s="77"/>
    </row>
    <row r="41" spans="2:23" outlineLevel="1" x14ac:dyDescent="0.25">
      <c r="B41" s="10" t="s">
        <v>372</v>
      </c>
      <c r="C41" s="33" t="e">
        <f>VLOOKUP(C1,#REF!,12,FALSE)</f>
        <v>#REF!</v>
      </c>
      <c r="E41" s="10" t="s">
        <v>372</v>
      </c>
      <c r="F41" s="33" t="e">
        <f>VLOOKUP(C1,#REF!,28,FALSE)</f>
        <v>#REF!</v>
      </c>
      <c r="G41" s="54"/>
      <c r="H41" s="10" t="s">
        <v>372</v>
      </c>
      <c r="I41" s="33" t="e">
        <f>VLOOKUP(C1,#REF!,57,FALSE)</f>
        <v>#REF!</v>
      </c>
      <c r="J41" s="54"/>
      <c r="W41" s="77"/>
    </row>
    <row r="42" spans="2:23" outlineLevel="1" x14ac:dyDescent="0.25">
      <c r="B42" s="10" t="s">
        <v>373</v>
      </c>
      <c r="C42" s="33" t="e">
        <f>VLOOKUP(C1,#REF!,13,FALSE)</f>
        <v>#REF!</v>
      </c>
      <c r="E42" s="10" t="s">
        <v>373</v>
      </c>
      <c r="F42" s="33" t="e">
        <f>VLOOKUP(C1,#REF!,29,FALSE)</f>
        <v>#REF!</v>
      </c>
      <c r="G42" s="54"/>
      <c r="H42" s="10" t="s">
        <v>373</v>
      </c>
      <c r="I42" s="33" t="e">
        <f>VLOOKUP(C1,#REF!,58,FALSE)</f>
        <v>#REF!</v>
      </c>
      <c r="J42" s="54"/>
      <c r="W42" s="77"/>
    </row>
    <row r="43" spans="2:23" outlineLevel="1" x14ac:dyDescent="0.25">
      <c r="B43" s="10" t="s">
        <v>374</v>
      </c>
      <c r="C43" s="33" t="e">
        <f>VLOOKUP(C1,#REF!,14,FALSE)</f>
        <v>#REF!</v>
      </c>
      <c r="E43" s="10" t="s">
        <v>374</v>
      </c>
      <c r="F43" s="33" t="e">
        <f>VLOOKUP(C1,#REF!,30,FALSE)</f>
        <v>#REF!</v>
      </c>
      <c r="G43" s="54"/>
      <c r="H43" s="10" t="s">
        <v>374</v>
      </c>
      <c r="I43" s="33" t="e">
        <f>VLOOKUP(C1,#REF!,59,FALSE)</f>
        <v>#REF!</v>
      </c>
      <c r="J43" s="54"/>
      <c r="W43" s="77"/>
    </row>
    <row r="44" spans="2:23" outlineLevel="1" x14ac:dyDescent="0.25">
      <c r="B44" s="29" t="s">
        <v>375</v>
      </c>
      <c r="C44" s="32" t="e">
        <f>SUM(C45:C48)</f>
        <v>#REF!</v>
      </c>
      <c r="E44" s="29" t="s">
        <v>375</v>
      </c>
      <c r="F44" s="32" t="e">
        <f>SUM(F45:F48)</f>
        <v>#REF!</v>
      </c>
      <c r="G44" s="54"/>
      <c r="H44" s="29" t="s">
        <v>375</v>
      </c>
      <c r="I44" s="32" t="e">
        <f>SUM(I45:I48)</f>
        <v>#REF!</v>
      </c>
      <c r="J44" s="54"/>
    </row>
    <row r="45" spans="2:23" outlineLevel="1" x14ac:dyDescent="0.25">
      <c r="B45" s="10" t="s">
        <v>371</v>
      </c>
      <c r="C45" s="33" t="e">
        <f>VLOOKUP(C1,#REF!,15,FALSE)</f>
        <v>#REF!</v>
      </c>
      <c r="E45" s="10" t="s">
        <v>371</v>
      </c>
      <c r="F45" s="33" t="e">
        <f>VLOOKUP(C1,#REF!,31,FALSE)</f>
        <v>#REF!</v>
      </c>
      <c r="G45" s="54"/>
      <c r="H45" s="10" t="s">
        <v>371</v>
      </c>
      <c r="I45" s="33" t="e">
        <f>VLOOKUP(C1,#REF!,60,FALSE)</f>
        <v>#REF!</v>
      </c>
      <c r="J45" s="54"/>
    </row>
    <row r="46" spans="2:23" outlineLevel="1" x14ac:dyDescent="0.25">
      <c r="B46" s="10" t="s">
        <v>372</v>
      </c>
      <c r="C46" s="33" t="e">
        <f>VLOOKUP(C1,#REF!,16,FALSE)</f>
        <v>#REF!</v>
      </c>
      <c r="E46" s="10" t="s">
        <v>372</v>
      </c>
      <c r="F46" s="33" t="e">
        <f>VLOOKUP(C1,#REF!,32,FALSE)</f>
        <v>#REF!</v>
      </c>
      <c r="G46" s="54"/>
      <c r="H46" s="10" t="s">
        <v>372</v>
      </c>
      <c r="I46" s="33" t="e">
        <f>VLOOKUP(C1,#REF!,61,FALSE)</f>
        <v>#REF!</v>
      </c>
      <c r="J46" s="54"/>
    </row>
    <row r="47" spans="2:23" outlineLevel="1" x14ac:dyDescent="0.25">
      <c r="B47" s="10" t="s">
        <v>373</v>
      </c>
      <c r="C47" s="33" t="e">
        <f>VLOOKUP(C1,#REF!,17,FALSE)</f>
        <v>#REF!</v>
      </c>
      <c r="E47" s="10" t="s">
        <v>373</v>
      </c>
      <c r="F47" s="33" t="e">
        <f>VLOOKUP(C1,#REF!,33,FALSE)</f>
        <v>#REF!</v>
      </c>
      <c r="G47" s="54"/>
      <c r="H47" s="10" t="s">
        <v>373</v>
      </c>
      <c r="I47" s="33" t="e">
        <f>VLOOKUP(C1,#REF!,62,FALSE)</f>
        <v>#REF!</v>
      </c>
      <c r="J47" s="54"/>
    </row>
    <row r="48" spans="2:23" outlineLevel="1" x14ac:dyDescent="0.25">
      <c r="B48" s="10" t="s">
        <v>374</v>
      </c>
      <c r="C48" s="33" t="e">
        <f>VLOOKUP(C1,#REF!,18,FALSE)</f>
        <v>#REF!</v>
      </c>
      <c r="E48" s="10" t="s">
        <v>374</v>
      </c>
      <c r="F48" s="33" t="e">
        <f>VLOOKUP(C1,#REF!,34,FALSE)</f>
        <v>#REF!</v>
      </c>
      <c r="G48" s="54"/>
      <c r="H48" s="10" t="s">
        <v>374</v>
      </c>
      <c r="I48" s="33" t="e">
        <f>VLOOKUP(C1,#REF!,63,FALSE)</f>
        <v>#REF!</v>
      </c>
      <c r="J48" s="54"/>
    </row>
    <row r="49" spans="2:10" outlineLevel="1" x14ac:dyDescent="0.25">
      <c r="B49" s="75"/>
      <c r="C49" s="76"/>
      <c r="E49" s="75"/>
      <c r="F49" s="76"/>
      <c r="G49" s="54"/>
      <c r="H49" s="75"/>
      <c r="I49" s="76"/>
      <c r="J49" s="54"/>
    </row>
    <row r="50" spans="2:10" ht="6.75" customHeight="1" outlineLevel="1" x14ac:dyDescent="0.25"/>
    <row r="51" spans="2:10" ht="33.75" customHeight="1" outlineLevel="1" x14ac:dyDescent="0.35">
      <c r="B51" s="254" t="s">
        <v>4396</v>
      </c>
      <c r="C51" s="254"/>
      <c r="D51" s="254"/>
      <c r="E51" s="254"/>
      <c r="F51" s="254"/>
      <c r="G51" s="254"/>
      <c r="H51" s="254"/>
      <c r="I51" s="254"/>
    </row>
    <row r="52" spans="2:10" ht="9.9499999999999993" customHeight="1" outlineLevel="1" x14ac:dyDescent="0.25"/>
    <row r="53" spans="2:10" ht="15.75" outlineLevel="1" x14ac:dyDescent="0.25">
      <c r="B53" s="282" t="s">
        <v>815</v>
      </c>
      <c r="C53" s="282"/>
      <c r="E53" s="283" t="s">
        <v>818</v>
      </c>
      <c r="F53" s="284"/>
      <c r="G53" s="48"/>
      <c r="H53" s="283" t="s">
        <v>819</v>
      </c>
      <c r="I53" s="284"/>
      <c r="J53" s="48"/>
    </row>
    <row r="54" spans="2:10" outlineLevel="1" x14ac:dyDescent="0.25">
      <c r="B54" s="79" t="s">
        <v>640</v>
      </c>
      <c r="C54" s="79" t="s">
        <v>816</v>
      </c>
      <c r="E54" s="79" t="s">
        <v>640</v>
      </c>
      <c r="F54" s="79" t="s">
        <v>816</v>
      </c>
      <c r="H54" s="79" t="s">
        <v>640</v>
      </c>
      <c r="I54" s="79" t="s">
        <v>816</v>
      </c>
    </row>
    <row r="55" spans="2:10" outlineLevel="1" x14ac:dyDescent="0.25">
      <c r="B55" s="288" t="s">
        <v>370</v>
      </c>
      <c r="C55" s="288"/>
      <c r="E55" s="288" t="s">
        <v>370</v>
      </c>
      <c r="F55" s="288"/>
      <c r="G55" s="54"/>
      <c r="H55" s="288" t="s">
        <v>370</v>
      </c>
      <c r="I55" s="288"/>
    </row>
    <row r="56" spans="2:10" outlineLevel="1" x14ac:dyDescent="0.25">
      <c r="B56" s="80" t="e">
        <f>VLOOKUP(C1,#REF!,43,FALSE)</f>
        <v>#REF!</v>
      </c>
      <c r="C56" s="81" t="e">
        <f>VLOOKUP(C1,#REF!,37,FALSE)</f>
        <v>#REF!</v>
      </c>
      <c r="E56" s="80" t="e">
        <f>VLOOKUP(C1,#REF!,45,FALSE)</f>
        <v>#REF!</v>
      </c>
      <c r="F56" s="81" t="e">
        <f>VLOOKUP(C1,#REF!,39,FALSE)</f>
        <v>#REF!</v>
      </c>
      <c r="G56" s="54"/>
      <c r="H56" s="80" t="e">
        <f>VLOOKUP(C1,#REF!,47,FALSE)</f>
        <v>#REF!</v>
      </c>
      <c r="I56" s="81" t="e">
        <f>VLOOKUP(C1,#REF!,41,FALSE)</f>
        <v>#REF!</v>
      </c>
    </row>
    <row r="57" spans="2:10" outlineLevel="1" x14ac:dyDescent="0.25">
      <c r="B57" s="288" t="s">
        <v>375</v>
      </c>
      <c r="C57" s="288"/>
      <c r="E57" s="288" t="s">
        <v>375</v>
      </c>
      <c r="F57" s="288"/>
      <c r="G57" s="54"/>
      <c r="H57" s="288" t="s">
        <v>375</v>
      </c>
      <c r="I57" s="288"/>
    </row>
    <row r="58" spans="2:10" outlineLevel="1" x14ac:dyDescent="0.25">
      <c r="B58" s="80" t="e">
        <f>VLOOKUP(C1,#REF!,42,FALSE)</f>
        <v>#REF!</v>
      </c>
      <c r="C58" s="81" t="e">
        <f>VLOOKUP(C1,#REF!,36,FALSE)</f>
        <v>#REF!</v>
      </c>
      <c r="D58" t="s">
        <v>352</v>
      </c>
      <c r="E58" s="80" t="e">
        <f>VLOOKUP(C1,#REF!,44,FALSE)</f>
        <v>#REF!</v>
      </c>
      <c r="F58" s="81" t="e">
        <f>VLOOKUP(C1,#REF!,38,FALSE)</f>
        <v>#REF!</v>
      </c>
      <c r="G58" s="54"/>
      <c r="H58" s="80" t="e">
        <f>VLOOKUP(C1,#REF!,46,FALSE)</f>
        <v>#REF!</v>
      </c>
      <c r="I58" s="81" t="e">
        <f>VLOOKUP(C1,#REF!,40,FALSE)</f>
        <v>#REF!</v>
      </c>
    </row>
    <row r="59" spans="2:10" outlineLevel="1" x14ac:dyDescent="0.25">
      <c r="B59" s="288" t="s">
        <v>820</v>
      </c>
      <c r="C59" s="288"/>
      <c r="E59" s="288" t="s">
        <v>820</v>
      </c>
      <c r="F59" s="288"/>
      <c r="H59" s="288" t="s">
        <v>820</v>
      </c>
      <c r="I59" s="288"/>
    </row>
    <row r="60" spans="2:10" outlineLevel="1" x14ac:dyDescent="0.25">
      <c r="B60" s="80" t="str">
        <f>IFERROR(B56+B58,"")</f>
        <v/>
      </c>
      <c r="C60" s="81" t="str">
        <f>IFERROR(C56+C58,"")</f>
        <v/>
      </c>
      <c r="E60" s="80" t="str">
        <f>IFERROR(E56+E58,"")</f>
        <v/>
      </c>
      <c r="F60" s="81" t="str">
        <f>IFERROR(F56+F58,"")</f>
        <v/>
      </c>
      <c r="H60" s="80" t="str">
        <f>IFERROR(H56+H58,"")</f>
        <v/>
      </c>
      <c r="I60" s="81" t="str">
        <f>IFERROR(I56+I58,"")</f>
        <v/>
      </c>
    </row>
    <row r="61" spans="2:10" outlineLevel="1" x14ac:dyDescent="0.25"/>
    <row r="63" spans="2:10" ht="15.75" thickBot="1" x14ac:dyDescent="0.3">
      <c r="B63" s="75"/>
      <c r="C63" s="76"/>
      <c r="E63" s="75"/>
      <c r="F63" s="76"/>
      <c r="G63" s="54"/>
      <c r="H63" s="75"/>
      <c r="I63" s="76"/>
      <c r="J63" s="54"/>
    </row>
    <row r="64" spans="2:10" ht="32.25" thickBot="1" x14ac:dyDescent="0.55000000000000004">
      <c r="B64" s="285" t="s">
        <v>817</v>
      </c>
      <c r="C64" s="286"/>
      <c r="D64" s="286"/>
      <c r="E64" s="286"/>
      <c r="F64" s="286"/>
      <c r="G64" s="286"/>
      <c r="H64" s="286"/>
      <c r="I64" s="287"/>
    </row>
    <row r="65" spans="2:9" x14ac:dyDescent="0.25">
      <c r="B65" s="57"/>
      <c r="C65" s="58"/>
      <c r="D65" s="58"/>
      <c r="E65" s="58"/>
      <c r="F65" s="58"/>
      <c r="G65" s="58"/>
      <c r="H65" s="58"/>
      <c r="I65" s="59"/>
    </row>
    <row r="66" spans="2:9" x14ac:dyDescent="0.25">
      <c r="B66" s="67" t="s">
        <v>405</v>
      </c>
      <c r="C66" s="291" t="s">
        <v>4350</v>
      </c>
      <c r="D66" s="291"/>
      <c r="E66" s="291"/>
      <c r="F66" s="291"/>
      <c r="G66" s="291"/>
      <c r="H66" s="291"/>
      <c r="I66" s="61"/>
    </row>
    <row r="67" spans="2:9" ht="9.75" customHeight="1" x14ac:dyDescent="0.25">
      <c r="B67" s="67"/>
      <c r="C67" s="291"/>
      <c r="D67" s="291"/>
      <c r="E67" s="291"/>
      <c r="F67" s="291"/>
      <c r="G67" s="291"/>
      <c r="H67" s="291"/>
      <c r="I67" s="61"/>
    </row>
    <row r="68" spans="2:9" x14ac:dyDescent="0.25">
      <c r="B68" s="67"/>
      <c r="C68" s="14"/>
      <c r="D68" s="50"/>
      <c r="E68" s="50"/>
      <c r="F68" s="50"/>
      <c r="G68" s="50"/>
      <c r="H68" s="50"/>
      <c r="I68" s="61"/>
    </row>
    <row r="69" spans="2:9" x14ac:dyDescent="0.25">
      <c r="B69" s="67"/>
      <c r="C69" s="290" t="str">
        <f>IFERROR(VLOOKUP(C1&amp;C66,'Tenant Percentages'!$D$2:$F$183,3,FALSE),F72)</f>
        <v>NHS England (Corporate)</v>
      </c>
      <c r="D69" s="290"/>
      <c r="E69" s="290"/>
      <c r="F69" s="290"/>
      <c r="G69" s="290"/>
      <c r="H69" s="290"/>
      <c r="I69" s="61"/>
    </row>
    <row r="70" spans="2:9" ht="15" customHeight="1" x14ac:dyDescent="0.25">
      <c r="B70" s="67" t="s">
        <v>402</v>
      </c>
      <c r="C70" s="290"/>
      <c r="D70" s="290"/>
      <c r="E70" s="290"/>
      <c r="F70" s="290"/>
      <c r="G70" s="290"/>
      <c r="H70" s="290"/>
      <c r="I70" s="61"/>
    </row>
    <row r="71" spans="2:9" ht="6.75" customHeight="1" x14ac:dyDescent="0.35">
      <c r="B71" s="67"/>
      <c r="C71" s="50"/>
      <c r="D71" s="66"/>
      <c r="E71" s="66"/>
      <c r="F71" s="66"/>
      <c r="G71" s="66"/>
      <c r="H71" s="66"/>
      <c r="I71" s="61"/>
    </row>
    <row r="72" spans="2:9" ht="18.75" x14ac:dyDescent="0.3">
      <c r="B72" s="70"/>
      <c r="C72" s="14"/>
      <c r="D72" s="14"/>
      <c r="E72" s="71" t="s">
        <v>403</v>
      </c>
      <c r="F72" s="100">
        <f>IFERROR(VLOOKUP(C1&amp;C66,'Tenant Percentages'!$D$2:$E$176,2,FALSE),"No Occupancy")</f>
        <v>0.7791216802638431</v>
      </c>
      <c r="G72" s="50"/>
      <c r="H72" s="50"/>
      <c r="I72" s="61"/>
    </row>
    <row r="73" spans="2:9" x14ac:dyDescent="0.25">
      <c r="B73" s="67"/>
      <c r="C73" s="50"/>
      <c r="D73" s="50"/>
      <c r="E73" s="50"/>
      <c r="F73" s="14"/>
      <c r="G73" s="50"/>
      <c r="H73" s="50"/>
      <c r="I73" s="61"/>
    </row>
    <row r="74" spans="2:9" ht="15.75" x14ac:dyDescent="0.25">
      <c r="B74" s="67"/>
      <c r="C74" s="106" t="s">
        <v>368</v>
      </c>
      <c r="D74" s="104"/>
      <c r="E74" s="104" t="s">
        <v>4390</v>
      </c>
      <c r="F74" s="104" t="s">
        <v>4389</v>
      </c>
      <c r="G74" s="104"/>
      <c r="H74" s="105" t="s">
        <v>643</v>
      </c>
      <c r="I74" s="61"/>
    </row>
    <row r="75" spans="2:9" x14ac:dyDescent="0.25">
      <c r="B75" s="67"/>
      <c r="C75" s="101" t="s">
        <v>4341</v>
      </c>
      <c r="D75" s="56"/>
      <c r="E75" s="102" t="str">
        <f>IFERROR(IF(C7&gt;0,$F$72*C7,$F$72*C23),"-")</f>
        <v>-</v>
      </c>
      <c r="F75" s="103" t="str">
        <f>IFERROR($F$72*C39,"-")</f>
        <v>-</v>
      </c>
      <c r="G75" s="56"/>
      <c r="H75" s="107" t="str">
        <f>IF(ISNUMBER(E75)=TRUE,E75*0.494265,"")</f>
        <v/>
      </c>
      <c r="I75" s="61"/>
    </row>
    <row r="76" spans="2:9" x14ac:dyDescent="0.25">
      <c r="B76" s="67"/>
      <c r="C76" s="101" t="s">
        <v>4342</v>
      </c>
      <c r="D76" s="56"/>
      <c r="E76" s="102" t="str">
        <f>IFERROR(IF(C12&gt;0,$F$72*C12,$F$72*C28),"-")</f>
        <v>-</v>
      </c>
      <c r="F76" s="103" t="str">
        <f>IFERROR($F$72*C44,"-")</f>
        <v>-</v>
      </c>
      <c r="G76" s="56"/>
      <c r="H76" s="107" t="str">
        <f>IF(ISNUMBER(E76)=TRUE,E76*0.494265,"")</f>
        <v/>
      </c>
      <c r="I76" s="61"/>
    </row>
    <row r="77" spans="2:9" x14ac:dyDescent="0.25">
      <c r="B77" s="67"/>
      <c r="C77" s="56" t="s">
        <v>4388</v>
      </c>
      <c r="D77" s="56"/>
      <c r="E77" s="102" t="str">
        <f>IFERROR(IF(C6&gt;0,$F$72*C6,$F$72*C22),"-")</f>
        <v>-</v>
      </c>
      <c r="F77" s="103" t="str">
        <f>IFERROR($F$72*C38,"-")</f>
        <v>-</v>
      </c>
      <c r="G77" s="56"/>
      <c r="H77" s="107" t="str">
        <f>IF(ISNUMBER(E77)=TRUE,E77*0.494265,"")</f>
        <v/>
      </c>
      <c r="I77" s="61"/>
    </row>
    <row r="78" spans="2:9" x14ac:dyDescent="0.25">
      <c r="B78" s="67"/>
      <c r="C78" s="50"/>
      <c r="D78" s="50"/>
      <c r="E78" s="50" t="e">
        <f>IF(C6&gt;0,"","(Estimate)")</f>
        <v>#REF!</v>
      </c>
      <c r="F78" s="14"/>
      <c r="G78" s="50"/>
      <c r="H78" s="108" t="s">
        <v>642</v>
      </c>
      <c r="I78" s="61"/>
    </row>
    <row r="79" spans="2:9" x14ac:dyDescent="0.25">
      <c r="B79" s="67"/>
      <c r="C79" s="50"/>
      <c r="D79" s="50"/>
      <c r="E79" s="50"/>
      <c r="F79" s="14"/>
      <c r="G79" s="50"/>
      <c r="H79" s="50"/>
      <c r="I79" s="61"/>
    </row>
    <row r="80" spans="2:9" ht="15.75" x14ac:dyDescent="0.25">
      <c r="B80" s="67"/>
      <c r="C80" s="106" t="s">
        <v>377</v>
      </c>
      <c r="D80" s="104"/>
      <c r="E80" s="104" t="s">
        <v>4390</v>
      </c>
      <c r="F80" s="104" t="s">
        <v>4389</v>
      </c>
      <c r="G80" s="104"/>
      <c r="H80" s="105" t="s">
        <v>643</v>
      </c>
      <c r="I80" s="61"/>
    </row>
    <row r="81" spans="2:9" x14ac:dyDescent="0.25">
      <c r="B81" s="67"/>
      <c r="C81" s="101" t="s">
        <v>4341</v>
      </c>
      <c r="D81" s="56"/>
      <c r="E81" s="102" t="str">
        <f>IFERROR(IF(F7&gt;0,$F$72*F7,$F$72*F23),"-")</f>
        <v>-</v>
      </c>
      <c r="F81" s="103" t="str">
        <f>IFERROR($F$72*F39,"-")</f>
        <v>-</v>
      </c>
      <c r="G81" s="56"/>
      <c r="H81" s="107" t="str">
        <f>IF(ISNUMBER(E81)=TRUE,E81*0.184973,"")</f>
        <v/>
      </c>
      <c r="I81" s="61"/>
    </row>
    <row r="82" spans="2:9" x14ac:dyDescent="0.25">
      <c r="B82" s="67"/>
      <c r="C82" s="101" t="s">
        <v>4342</v>
      </c>
      <c r="D82" s="56"/>
      <c r="E82" s="102" t="str">
        <f>IFERROR(IF(F12&gt;0,$F$72*F12,$F$72*F28),"-")</f>
        <v>-</v>
      </c>
      <c r="F82" s="103" t="str">
        <f>IFERROR($F$72*F44,"-")</f>
        <v>-</v>
      </c>
      <c r="G82" s="56"/>
      <c r="H82" s="107" t="str">
        <f>IF(ISNUMBER(E82)=TRUE,E82*0.184973,"")</f>
        <v/>
      </c>
      <c r="I82" s="61"/>
    </row>
    <row r="83" spans="2:9" x14ac:dyDescent="0.25">
      <c r="B83" s="67"/>
      <c r="C83" s="56" t="s">
        <v>4388</v>
      </c>
      <c r="D83" s="56"/>
      <c r="E83" s="102" t="str">
        <f>IFERROR(IF(F6&gt;0,$F$72*F6,$F$72*F22),"-")</f>
        <v>-</v>
      </c>
      <c r="F83" s="109" t="str">
        <f>IFERROR($F$72*F38,"-")</f>
        <v>-</v>
      </c>
      <c r="G83" s="56"/>
      <c r="H83" s="107" t="str">
        <f>IF(ISNUMBER(E83)=TRUE,E83*0.184973,"")</f>
        <v/>
      </c>
      <c r="I83" s="61"/>
    </row>
    <row r="84" spans="2:9" x14ac:dyDescent="0.25">
      <c r="B84" s="67"/>
      <c r="C84" s="50"/>
      <c r="D84" s="50"/>
      <c r="E84" s="50" t="e">
        <f>IF(F6&gt;0,"","(Estimate)")</f>
        <v>#REF!</v>
      </c>
      <c r="F84" s="14"/>
      <c r="G84" s="50"/>
      <c r="H84" s="108" t="s">
        <v>641</v>
      </c>
      <c r="I84" s="61"/>
    </row>
    <row r="85" spans="2:9" x14ac:dyDescent="0.25">
      <c r="B85" s="67"/>
      <c r="C85" s="50"/>
      <c r="D85" s="50"/>
      <c r="E85" s="50"/>
      <c r="F85" s="14"/>
      <c r="G85" s="50"/>
      <c r="H85" s="108"/>
      <c r="I85" s="61"/>
    </row>
    <row r="86" spans="2:9" ht="17.25" x14ac:dyDescent="0.25">
      <c r="B86" s="67"/>
      <c r="C86" s="106" t="s">
        <v>624</v>
      </c>
      <c r="D86" s="104"/>
      <c r="E86" s="104" t="s">
        <v>4391</v>
      </c>
      <c r="F86" s="104" t="s">
        <v>4389</v>
      </c>
      <c r="G86" s="104"/>
      <c r="H86" s="105"/>
      <c r="I86" s="61"/>
    </row>
    <row r="87" spans="2:9" x14ac:dyDescent="0.25">
      <c r="B87" s="67"/>
      <c r="C87" s="101" t="s">
        <v>4341</v>
      </c>
      <c r="D87" s="56"/>
      <c r="E87" s="102" t="str">
        <f>IFERROR(F72*I23,"-")</f>
        <v>-</v>
      </c>
      <c r="F87" s="103" t="str">
        <f>IFERROR($F$72*I39,"-")</f>
        <v>-</v>
      </c>
      <c r="G87" s="56"/>
      <c r="H87" s="107"/>
      <c r="I87" s="61"/>
    </row>
    <row r="88" spans="2:9" x14ac:dyDescent="0.25">
      <c r="B88" s="67"/>
      <c r="C88" s="101" t="s">
        <v>4342</v>
      </c>
      <c r="D88" s="56"/>
      <c r="E88" s="102" t="str">
        <f>IFERROR(F72*I28,"-")</f>
        <v>-</v>
      </c>
      <c r="F88" s="103" t="str">
        <f>IFERROR($F$72*I44,"-")</f>
        <v>-</v>
      </c>
      <c r="G88" s="56"/>
      <c r="H88" s="107"/>
      <c r="I88" s="61"/>
    </row>
    <row r="89" spans="2:9" x14ac:dyDescent="0.25">
      <c r="B89" s="67"/>
      <c r="C89" s="56" t="s">
        <v>4388</v>
      </c>
      <c r="D89" s="56"/>
      <c r="E89" s="102" t="str">
        <f>IFERROR(F72*I22,"-")</f>
        <v>-</v>
      </c>
      <c r="F89" s="109" t="str">
        <f>IFERROR($F$72*I38,"-")</f>
        <v>-</v>
      </c>
      <c r="G89" s="56"/>
      <c r="H89" s="107"/>
      <c r="I89" s="61"/>
    </row>
    <row r="90" spans="2:9" x14ac:dyDescent="0.25">
      <c r="B90" s="67"/>
      <c r="C90" s="50"/>
      <c r="D90" s="50"/>
      <c r="E90" s="110" t="s">
        <v>813</v>
      </c>
      <c r="F90" s="14"/>
      <c r="G90" s="50"/>
      <c r="H90" s="108"/>
      <c r="I90" s="61"/>
    </row>
    <row r="91" spans="2:9" x14ac:dyDescent="0.25">
      <c r="B91" s="67"/>
      <c r="C91" s="50"/>
      <c r="D91" s="50"/>
      <c r="E91" s="50"/>
      <c r="F91" s="14"/>
      <c r="G91" s="50"/>
      <c r="H91" s="108"/>
      <c r="I91" s="61"/>
    </row>
    <row r="92" spans="2:9" x14ac:dyDescent="0.25">
      <c r="B92" s="70"/>
      <c r="C92" s="50"/>
      <c r="D92" s="52"/>
      <c r="E92" s="50"/>
      <c r="F92" s="50"/>
      <c r="G92" s="50"/>
      <c r="H92" s="50"/>
      <c r="I92" s="61"/>
    </row>
    <row r="93" spans="2:9" ht="15.75" x14ac:dyDescent="0.25">
      <c r="B93" s="70"/>
      <c r="C93" s="106" t="s">
        <v>815</v>
      </c>
      <c r="D93" s="104"/>
      <c r="E93" s="104" t="s">
        <v>4392</v>
      </c>
      <c r="F93" s="104" t="s">
        <v>4389</v>
      </c>
      <c r="G93" s="104"/>
      <c r="H93" s="105"/>
      <c r="I93" s="61"/>
    </row>
    <row r="94" spans="2:9" x14ac:dyDescent="0.25">
      <c r="B94" s="70"/>
      <c r="C94" s="101" t="s">
        <v>4341</v>
      </c>
      <c r="D94" s="56"/>
      <c r="E94" s="102" t="str">
        <f>IFERROR($F$72*C56,"")</f>
        <v/>
      </c>
      <c r="F94" s="103" t="str">
        <f>IFERROR($F$72*B56,"")</f>
        <v/>
      </c>
      <c r="G94" s="56"/>
      <c r="H94" s="107"/>
      <c r="I94" s="61"/>
    </row>
    <row r="95" spans="2:9" x14ac:dyDescent="0.25">
      <c r="B95" s="70"/>
      <c r="C95" s="101" t="s">
        <v>4342</v>
      </c>
      <c r="D95" s="56"/>
      <c r="E95" s="102" t="str">
        <f>IFERROR($F$72*C58,"")</f>
        <v/>
      </c>
      <c r="F95" s="103" t="str">
        <f>IFERROR($F$72*B58,"")</f>
        <v/>
      </c>
      <c r="G95" s="56"/>
      <c r="H95" s="107"/>
      <c r="I95" s="61"/>
    </row>
    <row r="96" spans="2:9" x14ac:dyDescent="0.25">
      <c r="B96" s="70"/>
      <c r="C96" s="56" t="s">
        <v>4388</v>
      </c>
      <c r="D96" s="56"/>
      <c r="E96" s="102" t="str">
        <f>IFERROR($F$72*C60,"")</f>
        <v/>
      </c>
      <c r="F96" s="109" t="str">
        <f>IFERROR($F$72*B60,"")</f>
        <v/>
      </c>
      <c r="G96" s="56"/>
      <c r="H96" s="107"/>
      <c r="I96" s="61"/>
    </row>
    <row r="97" spans="2:9" x14ac:dyDescent="0.25">
      <c r="B97" s="70"/>
      <c r="C97" s="50"/>
      <c r="D97" s="50"/>
      <c r="E97" s="110" t="s">
        <v>813</v>
      </c>
      <c r="F97" s="14"/>
      <c r="G97" s="50"/>
      <c r="H97" s="108"/>
      <c r="I97" s="61"/>
    </row>
    <row r="98" spans="2:9" x14ac:dyDescent="0.25">
      <c r="B98" s="70"/>
      <c r="C98" s="50"/>
      <c r="D98" s="52"/>
      <c r="E98" s="50"/>
      <c r="F98" s="50"/>
      <c r="G98" s="50"/>
      <c r="H98" s="50"/>
      <c r="I98" s="61"/>
    </row>
    <row r="99" spans="2:9" x14ac:dyDescent="0.25">
      <c r="B99" s="70"/>
      <c r="C99" s="50"/>
      <c r="D99" s="52"/>
      <c r="E99" s="50"/>
      <c r="F99" s="50"/>
      <c r="G99" s="50"/>
      <c r="H99" s="50"/>
      <c r="I99" s="61"/>
    </row>
    <row r="100" spans="2:9" ht="15.75" x14ac:dyDescent="0.25">
      <c r="B100" s="70"/>
      <c r="C100" s="106" t="s">
        <v>818</v>
      </c>
      <c r="D100" s="104"/>
      <c r="E100" s="104" t="s">
        <v>4392</v>
      </c>
      <c r="F100" s="104" t="s">
        <v>4389</v>
      </c>
      <c r="G100" s="104"/>
      <c r="H100" s="105"/>
      <c r="I100" s="61"/>
    </row>
    <row r="101" spans="2:9" x14ac:dyDescent="0.25">
      <c r="B101" s="70"/>
      <c r="C101" s="101" t="s">
        <v>4341</v>
      </c>
      <c r="D101" s="56"/>
      <c r="E101" s="102" t="str">
        <f>IFERROR($F$72*F56,"")</f>
        <v/>
      </c>
      <c r="F101" s="103" t="str">
        <f>IFERROR($F$72*E56,"")</f>
        <v/>
      </c>
      <c r="G101" s="56"/>
      <c r="H101" s="107"/>
      <c r="I101" s="61"/>
    </row>
    <row r="102" spans="2:9" x14ac:dyDescent="0.25">
      <c r="B102" s="70"/>
      <c r="C102" s="101" t="s">
        <v>4342</v>
      </c>
      <c r="D102" s="56"/>
      <c r="E102" s="102" t="str">
        <f>IFERROR($F$72*F58,"")</f>
        <v/>
      </c>
      <c r="F102" s="103" t="str">
        <f>IFERROR($F$72*E58,"")</f>
        <v/>
      </c>
      <c r="G102" s="56"/>
      <c r="H102" s="107"/>
      <c r="I102" s="61"/>
    </row>
    <row r="103" spans="2:9" x14ac:dyDescent="0.25">
      <c r="B103" s="70"/>
      <c r="C103" s="56" t="s">
        <v>4388</v>
      </c>
      <c r="D103" s="56"/>
      <c r="E103" s="102" t="str">
        <f>IFERROR($F$72*F60,"")</f>
        <v/>
      </c>
      <c r="F103" s="109" t="str">
        <f>IFERROR($F$72*E60,"")</f>
        <v/>
      </c>
      <c r="G103" s="56"/>
      <c r="H103" s="107"/>
      <c r="I103" s="61"/>
    </row>
    <row r="104" spans="2:9" x14ac:dyDescent="0.25">
      <c r="B104" s="70"/>
      <c r="C104" s="50"/>
      <c r="D104" s="50"/>
      <c r="E104" s="110" t="s">
        <v>813</v>
      </c>
      <c r="F104" s="14"/>
      <c r="G104" s="50"/>
      <c r="H104" s="108"/>
      <c r="I104" s="61"/>
    </row>
    <row r="105" spans="2:9" x14ac:dyDescent="0.25">
      <c r="B105" s="70"/>
      <c r="C105" s="50"/>
      <c r="D105" s="52"/>
      <c r="E105" s="50"/>
      <c r="F105" s="50"/>
      <c r="G105" s="50"/>
      <c r="H105" s="50"/>
      <c r="I105" s="61"/>
    </row>
    <row r="106" spans="2:9" x14ac:dyDescent="0.25">
      <c r="B106" s="70"/>
      <c r="C106" s="50"/>
      <c r="D106" s="52"/>
      <c r="E106" s="50"/>
      <c r="F106" s="50"/>
      <c r="G106" s="50"/>
      <c r="H106" s="50"/>
      <c r="I106" s="61"/>
    </row>
    <row r="107" spans="2:9" ht="15.75" x14ac:dyDescent="0.25">
      <c r="B107" s="70"/>
      <c r="C107" s="106" t="s">
        <v>819</v>
      </c>
      <c r="D107" s="104"/>
      <c r="E107" s="104" t="s">
        <v>4392</v>
      </c>
      <c r="F107" s="104" t="s">
        <v>4389</v>
      </c>
      <c r="G107" s="104"/>
      <c r="H107" s="105"/>
      <c r="I107" s="61"/>
    </row>
    <row r="108" spans="2:9" x14ac:dyDescent="0.25">
      <c r="B108" s="70"/>
      <c r="C108" s="101" t="s">
        <v>4341</v>
      </c>
      <c r="D108" s="56"/>
      <c r="E108" s="102" t="str">
        <f>IFERROR($F$72*I56,"")</f>
        <v/>
      </c>
      <c r="F108" s="103" t="str">
        <f>IFERROR($F$72*H56,"-")</f>
        <v>-</v>
      </c>
      <c r="G108" s="56"/>
      <c r="H108" s="107"/>
      <c r="I108" s="61"/>
    </row>
    <row r="109" spans="2:9" x14ac:dyDescent="0.25">
      <c r="B109" s="70"/>
      <c r="C109" s="101" t="s">
        <v>4342</v>
      </c>
      <c r="D109" s="56"/>
      <c r="E109" s="102" t="str">
        <f>IFERROR($F$72*I58,"")</f>
        <v/>
      </c>
      <c r="F109" s="103" t="str">
        <f>IFERROR($F$72*H58,"-")</f>
        <v>-</v>
      </c>
      <c r="G109" s="56"/>
      <c r="H109" s="107"/>
      <c r="I109" s="61"/>
    </row>
    <row r="110" spans="2:9" x14ac:dyDescent="0.25">
      <c r="B110" s="70"/>
      <c r="C110" s="56" t="s">
        <v>4388</v>
      </c>
      <c r="D110" s="56"/>
      <c r="E110" s="102" t="str">
        <f>IFERROR($F$72*I60,"")</f>
        <v/>
      </c>
      <c r="F110" s="109" t="str">
        <f>IFERROR($F$72*H60,"")</f>
        <v/>
      </c>
      <c r="G110" s="56"/>
      <c r="H110" s="107"/>
      <c r="I110" s="61"/>
    </row>
    <row r="111" spans="2:9" x14ac:dyDescent="0.25">
      <c r="B111" s="70"/>
      <c r="C111" s="50"/>
      <c r="D111" s="50"/>
      <c r="E111" s="110" t="s">
        <v>813</v>
      </c>
      <c r="F111" s="14"/>
      <c r="G111" s="50"/>
      <c r="H111" s="108"/>
      <c r="I111" s="61"/>
    </row>
    <row r="112" spans="2:9" x14ac:dyDescent="0.25">
      <c r="B112" s="70"/>
      <c r="C112" s="50"/>
      <c r="D112" s="52"/>
      <c r="E112" s="50"/>
      <c r="F112" s="50"/>
      <c r="G112" s="50"/>
      <c r="H112" s="50"/>
      <c r="I112" s="61"/>
    </row>
    <row r="113" spans="2:9" x14ac:dyDescent="0.25">
      <c r="B113" s="60"/>
      <c r="C113" s="51"/>
      <c r="D113" s="50"/>
      <c r="E113" s="50"/>
      <c r="F113" s="50"/>
      <c r="G113" s="50"/>
      <c r="H113" s="50"/>
      <c r="I113" s="61"/>
    </row>
    <row r="114" spans="2:9" ht="15.75" thickBot="1" x14ac:dyDescent="0.3">
      <c r="B114" s="62"/>
      <c r="C114" s="63"/>
      <c r="D114" s="63"/>
      <c r="E114" s="63"/>
      <c r="F114" s="63"/>
      <c r="G114" s="64"/>
      <c r="H114" s="63"/>
      <c r="I114" s="65"/>
    </row>
  </sheetData>
  <mergeCells count="30">
    <mergeCell ref="H5:I5"/>
    <mergeCell ref="B5:C5"/>
    <mergeCell ref="E5:F5"/>
    <mergeCell ref="C1:H1"/>
    <mergeCell ref="C69:H70"/>
    <mergeCell ref="C66:H67"/>
    <mergeCell ref="B3:I3"/>
    <mergeCell ref="B18:I18"/>
    <mergeCell ref="B19:I19"/>
    <mergeCell ref="B35:I35"/>
    <mergeCell ref="B51:I51"/>
    <mergeCell ref="B21:C21"/>
    <mergeCell ref="E21:F21"/>
    <mergeCell ref="H21:I21"/>
    <mergeCell ref="B37:C37"/>
    <mergeCell ref="E37:F37"/>
    <mergeCell ref="H37:I37"/>
    <mergeCell ref="B53:C53"/>
    <mergeCell ref="E53:F53"/>
    <mergeCell ref="H53:I53"/>
    <mergeCell ref="B64:I64"/>
    <mergeCell ref="B55:C55"/>
    <mergeCell ref="E55:F55"/>
    <mergeCell ref="H55:I55"/>
    <mergeCell ref="B57:C57"/>
    <mergeCell ref="E57:F57"/>
    <mergeCell ref="H57:I57"/>
    <mergeCell ref="B59:C59"/>
    <mergeCell ref="E59:F59"/>
    <mergeCell ref="H59:I59"/>
  </mergeCells>
  <dataValidations count="1">
    <dataValidation type="list" allowBlank="1" showInputMessage="1" showErrorMessage="1" sqref="C66:H67">
      <formula1>"NHSE Corporate,CSU"</formula1>
    </dataValidation>
  </dataValidations>
  <pageMargins left="0.7" right="0.7" top="0.75" bottom="0.75" header="0.3" footer="0.3"/>
  <pageSetup scale="5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'Site listing'!$C$4:$C$4</xm:f>
          </x14:formula1>
          <xm:sqref>C1:H1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76"/>
  <sheetViews>
    <sheetView workbookViewId="0">
      <selection activeCell="A147" sqref="A147"/>
    </sheetView>
  </sheetViews>
  <sheetFormatPr defaultRowHeight="15" x14ac:dyDescent="0.25"/>
  <cols>
    <col min="1" max="1" width="9.140625" bestFit="1" customWidth="1"/>
    <col min="2" max="2" width="56.42578125" bestFit="1" customWidth="1"/>
    <col min="3" max="3" width="15.7109375" customWidth="1"/>
    <col min="4" max="4" width="70.85546875" bestFit="1" customWidth="1"/>
    <col min="5" max="5" width="11.28515625" bestFit="1" customWidth="1"/>
    <col min="6" max="6" width="59.5703125" customWidth="1"/>
  </cols>
  <sheetData>
    <row r="1" spans="1:6" x14ac:dyDescent="0.25">
      <c r="A1" t="s">
        <v>4349</v>
      </c>
      <c r="B1" t="s">
        <v>398</v>
      </c>
      <c r="C1" t="s">
        <v>399</v>
      </c>
      <c r="D1" t="s">
        <v>401</v>
      </c>
      <c r="E1" t="s">
        <v>400</v>
      </c>
      <c r="F1" t="s">
        <v>404</v>
      </c>
    </row>
    <row r="2" spans="1:6" hidden="1" x14ac:dyDescent="0.25">
      <c r="A2" s="97">
        <v>10</v>
      </c>
      <c r="B2" s="35" t="str">
        <f>VLOOKUP(A2,'Properties List'!$A$2:$C$299,3,FALSE)</f>
        <v>Parkside House</v>
      </c>
      <c r="C2" t="s">
        <v>4350</v>
      </c>
      <c r="D2" t="str">
        <f t="shared" ref="D2:D33" si="0">B2&amp;C2</f>
        <v>Parkside HouseNHSE Corporate</v>
      </c>
      <c r="E2" s="24" t="s">
        <v>4387</v>
      </c>
      <c r="F2" s="35" t="s">
        <v>4351</v>
      </c>
    </row>
    <row r="3" spans="1:6" hidden="1" x14ac:dyDescent="0.25">
      <c r="A3" s="97">
        <v>167</v>
      </c>
      <c r="B3" s="35" t="str">
        <f>VLOOKUP(A3,'Properties List'!$A$2:$C$299,3,FALSE)</f>
        <v>Vaughan Building</v>
      </c>
      <c r="C3" t="s">
        <v>4350</v>
      </c>
      <c r="D3" t="str">
        <f t="shared" si="0"/>
        <v>Vaughan BuildingNHSE Corporate</v>
      </c>
      <c r="E3" s="24">
        <v>2.0470390320441276E-2</v>
      </c>
      <c r="F3" s="35" t="s">
        <v>4351</v>
      </c>
    </row>
    <row r="4" spans="1:6" hidden="1" x14ac:dyDescent="0.25">
      <c r="A4" s="97">
        <v>199</v>
      </c>
      <c r="B4" s="35" t="str">
        <f>VLOOKUP(A4,'Properties List'!$A$2:$C$299,3,FALSE)</f>
        <v>Halesfield 6</v>
      </c>
      <c r="C4" t="s">
        <v>4350</v>
      </c>
      <c r="D4" t="str">
        <f t="shared" si="0"/>
        <v>Halesfield 6NHSE Corporate</v>
      </c>
      <c r="E4" s="24">
        <v>0.15410200449380287</v>
      </c>
      <c r="F4" s="35" t="s">
        <v>4351</v>
      </c>
    </row>
    <row r="5" spans="1:6" hidden="1" x14ac:dyDescent="0.25">
      <c r="A5" s="97">
        <v>251</v>
      </c>
      <c r="B5" s="35" t="str">
        <f>VLOOKUP(A5,'Properties List'!$A$2:$C$299,3,FALSE)</f>
        <v>Wildwood</v>
      </c>
      <c r="C5" t="s">
        <v>4350</v>
      </c>
      <c r="D5" t="str">
        <f t="shared" si="0"/>
        <v>WildwoodNHSE Corporate</v>
      </c>
      <c r="E5" s="24">
        <v>0.88959507944643779</v>
      </c>
      <c r="F5" s="35" t="s">
        <v>4351</v>
      </c>
    </row>
    <row r="6" spans="1:6" hidden="1" x14ac:dyDescent="0.25">
      <c r="A6" s="97">
        <v>388</v>
      </c>
      <c r="B6" s="35" t="str">
        <f>VLOOKUP(A6,'Properties List'!$A$2:$C$299,3,FALSE)</f>
        <v>Bewley House</v>
      </c>
      <c r="C6" t="s">
        <v>4350</v>
      </c>
      <c r="D6" t="str">
        <f t="shared" si="0"/>
        <v>Bewley HouseNHSE Corporate</v>
      </c>
      <c r="E6" s="24">
        <v>1</v>
      </c>
      <c r="F6" s="35" t="s">
        <v>4351</v>
      </c>
    </row>
    <row r="7" spans="1:6" hidden="1" x14ac:dyDescent="0.25">
      <c r="A7" s="97">
        <v>424</v>
      </c>
      <c r="B7" s="35" t="str">
        <f>VLOOKUP(A7,'Properties List'!$A$2:$C$299,3,FALSE)</f>
        <v>Sanger House</v>
      </c>
      <c r="C7" t="s">
        <v>4350</v>
      </c>
      <c r="D7" t="str">
        <f t="shared" si="0"/>
        <v>Sanger HouseNHSE Corporate</v>
      </c>
      <c r="E7" s="24">
        <v>0.11136841100076396</v>
      </c>
      <c r="F7" s="35" t="s">
        <v>4351</v>
      </c>
    </row>
    <row r="8" spans="1:6" hidden="1" x14ac:dyDescent="0.25">
      <c r="A8" s="97">
        <v>881</v>
      </c>
      <c r="B8" s="35" t="str">
        <f>VLOOKUP(A8,'Properties List'!$A$2:$C$299,3,FALSE)</f>
        <v>South Plaza (Lower Ground, First, Fourth, Fifth &amp; Sixth Floors)</v>
      </c>
      <c r="C8" t="s">
        <v>4350</v>
      </c>
      <c r="D8" t="str">
        <f t="shared" si="0"/>
        <v>South Plaza (Lower Ground, First, Fourth, Fifth &amp; Sixth Floors)NHSE Corporate</v>
      </c>
      <c r="E8" s="24">
        <v>0.13697299638095825</v>
      </c>
      <c r="F8" s="35" t="s">
        <v>4351</v>
      </c>
    </row>
    <row r="9" spans="1:6" hidden="1" x14ac:dyDescent="0.25">
      <c r="A9" s="97">
        <v>1038</v>
      </c>
      <c r="B9" s="35" t="str">
        <f>VLOOKUP(A9,'Properties List'!$A$2:$C$299,3,FALSE)</f>
        <v>Quayside Building (Car Spaces)</v>
      </c>
      <c r="C9" t="s">
        <v>4350</v>
      </c>
      <c r="D9" t="str">
        <f t="shared" si="0"/>
        <v>Quayside Building (Car Spaces)NHSE Corporate</v>
      </c>
      <c r="E9" s="24" t="s">
        <v>4352</v>
      </c>
      <c r="F9" s="35" t="s">
        <v>4351</v>
      </c>
    </row>
    <row r="10" spans="1:6" hidden="1" x14ac:dyDescent="0.25">
      <c r="A10" s="97">
        <v>1046</v>
      </c>
      <c r="B10" s="35" t="str">
        <f>VLOOKUP(A10,'Properties List'!$A$2:$C$299,3,FALSE)</f>
        <v>1829 Building</v>
      </c>
      <c r="C10" t="s">
        <v>4350</v>
      </c>
      <c r="D10" t="str">
        <f t="shared" si="0"/>
        <v>1829 BuildingNHSE Corporate</v>
      </c>
      <c r="E10" s="24">
        <v>7.5983060653728632E-2</v>
      </c>
      <c r="F10" s="35" t="s">
        <v>4351</v>
      </c>
    </row>
    <row r="11" spans="1:6" hidden="1" x14ac:dyDescent="0.25">
      <c r="A11" s="97">
        <v>1049</v>
      </c>
      <c r="B11" s="35" t="str">
        <f>VLOOKUP(A11,'Properties List'!$A$2:$C$299,3,FALSE)</f>
        <v>Quayside Building part</v>
      </c>
      <c r="C11" t="s">
        <v>4350</v>
      </c>
      <c r="D11" t="str">
        <f t="shared" si="0"/>
        <v>Quayside Building partNHSE Corporate</v>
      </c>
      <c r="E11" s="24">
        <v>0.54413317516392701</v>
      </c>
      <c r="F11" s="35" t="s">
        <v>4351</v>
      </c>
    </row>
    <row r="12" spans="1:6" hidden="1" x14ac:dyDescent="0.25">
      <c r="A12" s="97">
        <v>1109</v>
      </c>
      <c r="B12" s="35" t="str">
        <f>VLOOKUP(A12,'Properties List'!$A$2:$C$299,3,FALSE)</f>
        <v>4 Wavell Drive</v>
      </c>
      <c r="C12" t="s">
        <v>4350</v>
      </c>
      <c r="D12" t="str">
        <f t="shared" si="0"/>
        <v>4 Wavell DriveNHSE Corporate</v>
      </c>
      <c r="E12" s="24">
        <v>8.4384161278663522E-2</v>
      </c>
      <c r="F12" s="35" t="s">
        <v>4351</v>
      </c>
    </row>
    <row r="13" spans="1:6" hidden="1" x14ac:dyDescent="0.25">
      <c r="A13" s="97">
        <v>1294</v>
      </c>
      <c r="B13" s="35" t="str">
        <f>VLOOKUP(A13,'Properties List'!$A$2:$C$299,3,FALSE)</f>
        <v>The Old Telephone Exchange</v>
      </c>
      <c r="C13" t="s">
        <v>4350</v>
      </c>
      <c r="D13" t="str">
        <f t="shared" si="0"/>
        <v>The Old Telephone ExchangeNHSE Corporate</v>
      </c>
      <c r="E13" s="24">
        <v>0.39579875184970731</v>
      </c>
      <c r="F13" s="35" t="s">
        <v>4351</v>
      </c>
    </row>
    <row r="14" spans="1:6" hidden="1" x14ac:dyDescent="0.25">
      <c r="A14" s="97">
        <v>1356</v>
      </c>
      <c r="B14" s="35" t="str">
        <f>VLOOKUP(A14,'Properties List'!$A$2:$C$299,3,FALSE)</f>
        <v>Cardinal Square</v>
      </c>
      <c r="C14" t="s">
        <v>4350</v>
      </c>
      <c r="D14" t="str">
        <f t="shared" si="0"/>
        <v>Cardinal SquareNHSE Corporate</v>
      </c>
      <c r="E14" s="24">
        <v>0.13224144848683037</v>
      </c>
      <c r="F14" s="35" t="s">
        <v>4351</v>
      </c>
    </row>
    <row r="15" spans="1:6" hidden="1" x14ac:dyDescent="0.25">
      <c r="A15" s="97">
        <v>1424</v>
      </c>
      <c r="B15" s="35" t="str">
        <f>VLOOKUP(A15,'Properties List'!$A$2:$C$299,3,FALSE)</f>
        <v>Birch House</v>
      </c>
      <c r="C15" t="s">
        <v>4350</v>
      </c>
      <c r="D15" t="str">
        <f t="shared" si="0"/>
        <v>Birch HouseNHSE Corporate</v>
      </c>
      <c r="E15" s="24">
        <v>0.47515231426752741</v>
      </c>
      <c r="F15" s="35" t="s">
        <v>4351</v>
      </c>
    </row>
    <row r="16" spans="1:6" hidden="1" x14ac:dyDescent="0.25">
      <c r="A16" s="97">
        <v>1584</v>
      </c>
      <c r="B16" s="35" t="str">
        <f>VLOOKUP(A16,'Properties List'!$A$2:$C$299,3,FALSE)</f>
        <v>Peninsula House</v>
      </c>
      <c r="C16" t="s">
        <v>4350</v>
      </c>
      <c r="D16" t="str">
        <f t="shared" si="0"/>
        <v>Peninsula HouseNHSE Corporate</v>
      </c>
      <c r="E16" s="24">
        <v>1</v>
      </c>
      <c r="F16" s="35" t="s">
        <v>4351</v>
      </c>
    </row>
    <row r="17" spans="1:6" hidden="1" x14ac:dyDescent="0.25">
      <c r="A17" s="97">
        <v>1592</v>
      </c>
      <c r="B17" s="35" t="str">
        <f>VLOOKUP(A17,'Properties List'!$A$2:$C$299,3,FALSE)</f>
        <v>Sedgemoor Centre</v>
      </c>
      <c r="C17" t="s">
        <v>4350</v>
      </c>
      <c r="D17" t="str">
        <f t="shared" si="0"/>
        <v>Sedgemoor CentreNHSE Corporate</v>
      </c>
      <c r="E17" s="24">
        <v>7.0817611368602415E-2</v>
      </c>
      <c r="F17" s="35" t="s">
        <v>4351</v>
      </c>
    </row>
    <row r="18" spans="1:6" hidden="1" x14ac:dyDescent="0.25">
      <c r="A18" s="97">
        <v>2009</v>
      </c>
      <c r="B18" s="35" t="str">
        <f>VLOOKUP(A18,'Properties List'!$A$2:$C$299,3,FALSE)</f>
        <v>Paper Mill Farm</v>
      </c>
      <c r="C18" t="s">
        <v>4350</v>
      </c>
      <c r="D18" t="str">
        <f t="shared" si="0"/>
        <v>Paper Mill FarmNHSE Corporate</v>
      </c>
      <c r="E18" s="24" t="s">
        <v>4352</v>
      </c>
      <c r="F18" s="35" t="s">
        <v>4351</v>
      </c>
    </row>
    <row r="19" spans="1:6" hidden="1" x14ac:dyDescent="0.25">
      <c r="A19" s="97">
        <v>2065</v>
      </c>
      <c r="B19" s="35" t="str">
        <f>VLOOKUP(A19,'Properties List'!$A$2:$C$299,3,FALSE)</f>
        <v>Lakeside</v>
      </c>
      <c r="C19" t="s">
        <v>4350</v>
      </c>
      <c r="D19" t="str">
        <f t="shared" si="0"/>
        <v>LakesideNHSE Corporate</v>
      </c>
      <c r="E19" s="24">
        <v>7.2577670840724287E-3</v>
      </c>
      <c r="F19" s="35" t="s">
        <v>4351</v>
      </c>
    </row>
    <row r="20" spans="1:6" hidden="1" x14ac:dyDescent="0.25">
      <c r="A20" s="97">
        <v>2122</v>
      </c>
      <c r="B20" s="35" t="str">
        <f>VLOOKUP(A20,'Properties List'!$A$2:$C$299,3,FALSE)</f>
        <v>Rushbrook House</v>
      </c>
      <c r="C20" t="s">
        <v>4350</v>
      </c>
      <c r="D20" t="str">
        <f t="shared" si="0"/>
        <v>Rushbrook HouseNHSE Corporate</v>
      </c>
      <c r="E20" s="24" t="s">
        <v>4387</v>
      </c>
      <c r="F20" s="35" t="s">
        <v>4351</v>
      </c>
    </row>
    <row r="21" spans="1:6" hidden="1" x14ac:dyDescent="0.25">
      <c r="A21" s="97">
        <v>2232</v>
      </c>
      <c r="B21" s="35" t="str">
        <f>VLOOKUP(A21,'Properties List'!$A$2:$C$299,3,FALSE)</f>
        <v>Swift House</v>
      </c>
      <c r="C21" t="s">
        <v>4350</v>
      </c>
      <c r="D21" t="str">
        <f t="shared" si="0"/>
        <v>Swift HouseNHSE Corporate</v>
      </c>
      <c r="E21" s="24">
        <v>0.72934319125963076</v>
      </c>
      <c r="F21" s="35" t="s">
        <v>4351</v>
      </c>
    </row>
    <row r="22" spans="1:6" hidden="1" x14ac:dyDescent="0.25">
      <c r="A22" s="97">
        <v>2933</v>
      </c>
      <c r="B22" s="35" t="str">
        <f>VLOOKUP(A22,'Properties List'!$A$2:$C$299,3,FALSE)</f>
        <v>Charter House</v>
      </c>
      <c r="C22" t="s">
        <v>4350</v>
      </c>
      <c r="D22" t="str">
        <f t="shared" si="0"/>
        <v>Charter HouseNHSE Corporate</v>
      </c>
      <c r="E22" s="24">
        <v>0.38662541179932802</v>
      </c>
      <c r="F22" s="35" t="s">
        <v>4351</v>
      </c>
    </row>
    <row r="23" spans="1:6" hidden="1" x14ac:dyDescent="0.25">
      <c r="A23" s="97">
        <v>3017</v>
      </c>
      <c r="B23" s="35" t="str">
        <f>VLOOKUP(A23,'Properties List'!$A$2:$C$299,3,FALSE)</f>
        <v>Francis Crick House</v>
      </c>
      <c r="C23" t="s">
        <v>4350</v>
      </c>
      <c r="D23" t="str">
        <f t="shared" si="0"/>
        <v>Francis Crick HouseNHSE Corporate</v>
      </c>
      <c r="E23" s="24">
        <v>3.6566531839038199E-2</v>
      </c>
      <c r="F23" s="35" t="s">
        <v>4351</v>
      </c>
    </row>
    <row r="24" spans="1:6" hidden="1" x14ac:dyDescent="0.25">
      <c r="A24" s="97">
        <v>3175</v>
      </c>
      <c r="B24" s="35" t="str">
        <f>VLOOKUP(A24,'Properties List'!$A$2:$C$299,3,FALSE)</f>
        <v>Wharf House</v>
      </c>
      <c r="C24" t="s">
        <v>4350</v>
      </c>
      <c r="D24" t="str">
        <f t="shared" si="0"/>
        <v>Wharf HouseNHSE Corporate</v>
      </c>
      <c r="E24" s="99">
        <v>0.4075094202482738</v>
      </c>
      <c r="F24" s="35" t="s">
        <v>4351</v>
      </c>
    </row>
    <row r="25" spans="1:6" hidden="1" x14ac:dyDescent="0.25">
      <c r="A25" s="97">
        <v>3208</v>
      </c>
      <c r="B25" s="35" t="str">
        <f>VLOOKUP(A25,'Properties List'!$A$2:$C$299,3,FALSE)</f>
        <v>Preston Business Centre</v>
      </c>
      <c r="C25" t="s">
        <v>4350</v>
      </c>
      <c r="D25" t="str">
        <f t="shared" si="0"/>
        <v>Preston Business CentreNHSE Corporate</v>
      </c>
      <c r="E25" s="24">
        <v>0.7791216802638431</v>
      </c>
      <c r="F25" s="35" t="s">
        <v>4351</v>
      </c>
    </row>
    <row r="26" spans="1:6" x14ac:dyDescent="0.25">
      <c r="A26" s="97">
        <v>3513</v>
      </c>
      <c r="B26" s="35" t="str">
        <f>VLOOKUP(A26,'Properties List'!$A$2:$C$299,3,FALSE)</f>
        <v>Fosse House</v>
      </c>
      <c r="C26" t="s">
        <v>4350</v>
      </c>
      <c r="D26" t="str">
        <f t="shared" si="0"/>
        <v>Fosse HouseNHSE Corporate</v>
      </c>
      <c r="E26" s="24" t="s">
        <v>4411</v>
      </c>
      <c r="F26" s="35" t="s">
        <v>4351</v>
      </c>
    </row>
    <row r="27" spans="1:6" hidden="1" x14ac:dyDescent="0.25">
      <c r="A27" s="97">
        <v>3539</v>
      </c>
      <c r="B27" s="35" t="str">
        <f>VLOOKUP(A27,'Properties List'!$A$2:$C$299,3,FALSE)</f>
        <v>Cross OCliff Court</v>
      </c>
      <c r="C27" t="s">
        <v>4350</v>
      </c>
      <c r="D27" t="str">
        <f t="shared" si="0"/>
        <v>Cross OCliff CourtNHSE Corporate</v>
      </c>
      <c r="E27" s="24">
        <v>9.4270423494438857E-2</v>
      </c>
      <c r="F27" s="35" t="s">
        <v>4351</v>
      </c>
    </row>
    <row r="28" spans="1:6" hidden="1" x14ac:dyDescent="0.25">
      <c r="A28" s="97">
        <v>3748</v>
      </c>
      <c r="B28" s="35" t="str">
        <f>VLOOKUP(A28,'Properties List'!$A$2:$C$299,3,FALSE)</f>
        <v>Regatta Place</v>
      </c>
      <c r="C28" t="s">
        <v>4350</v>
      </c>
      <c r="D28" t="str">
        <f t="shared" si="0"/>
        <v>Regatta PlaceNHSE Corporate</v>
      </c>
      <c r="E28" s="24">
        <v>0.36006093565718783</v>
      </c>
      <c r="F28" s="35" t="s">
        <v>4351</v>
      </c>
    </row>
    <row r="29" spans="1:6" hidden="1" x14ac:dyDescent="0.25">
      <c r="A29" s="97">
        <v>3959</v>
      </c>
      <c r="B29" s="35" t="str">
        <f>VLOOKUP(A29,'Properties List'!$A$2:$C$299,3,FALSE)</f>
        <v>Stephenson House</v>
      </c>
      <c r="C29" t="s">
        <v>4350</v>
      </c>
      <c r="D29" t="str">
        <f t="shared" si="0"/>
        <v>Stephenson HouseNHSE Corporate</v>
      </c>
      <c r="E29" s="24">
        <v>0.23550898260601882</v>
      </c>
      <c r="F29" s="35" t="s">
        <v>4351</v>
      </c>
    </row>
    <row r="30" spans="1:6" hidden="1" x14ac:dyDescent="0.25">
      <c r="A30" s="97">
        <v>4309</v>
      </c>
      <c r="B30" s="35" t="str">
        <f>VLOOKUP(A30,'Properties List'!$A$2:$C$299,3,FALSE)</f>
        <v>Alpha Court</v>
      </c>
      <c r="C30" t="s">
        <v>4350</v>
      </c>
      <c r="D30" t="str">
        <f t="shared" si="0"/>
        <v>Alpha CourtNHSE Corporate</v>
      </c>
      <c r="E30" s="24">
        <v>0.74923813670004347</v>
      </c>
      <c r="F30" s="35" t="s">
        <v>4351</v>
      </c>
    </row>
    <row r="31" spans="1:6" hidden="1" x14ac:dyDescent="0.25">
      <c r="A31" s="97">
        <v>4338</v>
      </c>
      <c r="B31" s="35" t="str">
        <f>VLOOKUP(A31,'Properties List'!$A$2:$C$299,3,FALSE)</f>
        <v>Health House</v>
      </c>
      <c r="C31" t="s">
        <v>4350</v>
      </c>
      <c r="D31" t="str">
        <f t="shared" si="0"/>
        <v>Health HouseNHSE Corporate</v>
      </c>
      <c r="E31" s="24">
        <v>8.8304479978855585E-2</v>
      </c>
      <c r="F31" s="35" t="s">
        <v>4351</v>
      </c>
    </row>
    <row r="32" spans="1:6" hidden="1" x14ac:dyDescent="0.25">
      <c r="A32" s="97">
        <v>4487</v>
      </c>
      <c r="B32" s="35" t="str">
        <f>VLOOKUP(A32,'Properties List'!$A$2:$C$299,3,FALSE)</f>
        <v>Anglesey House</v>
      </c>
      <c r="C32" t="s">
        <v>4350</v>
      </c>
      <c r="D32" t="str">
        <f t="shared" si="0"/>
        <v>Anglesey HouseNHSE Corporate</v>
      </c>
      <c r="E32" s="24">
        <v>0.56899652649065724</v>
      </c>
      <c r="F32" s="35" t="s">
        <v>4351</v>
      </c>
    </row>
    <row r="33" spans="1:6" hidden="1" x14ac:dyDescent="0.25">
      <c r="A33" s="97">
        <v>4979</v>
      </c>
      <c r="B33" s="35" t="str">
        <f>VLOOKUP(A33,'Properties List'!$A$2:$C$299,3,FALSE)</f>
        <v>Oak House</v>
      </c>
      <c r="C33" t="s">
        <v>4350</v>
      </c>
      <c r="D33" t="str">
        <f t="shared" si="0"/>
        <v>Oak HouseNHSE Corporate</v>
      </c>
      <c r="E33" s="24">
        <v>0.45509465273160221</v>
      </c>
      <c r="F33" s="35" t="s">
        <v>4351</v>
      </c>
    </row>
    <row r="34" spans="1:6" hidden="1" x14ac:dyDescent="0.25">
      <c r="A34" s="97">
        <v>5385</v>
      </c>
      <c r="B34" s="35" t="str">
        <f>VLOOKUP(A34,'Properties List'!$A$2:$C$299,3,FALSE)</f>
        <v>Jubilee House (South)</v>
      </c>
      <c r="C34" t="s">
        <v>4350</v>
      </c>
      <c r="D34" t="str">
        <f t="shared" ref="D34:D65" si="1">B34&amp;C34</f>
        <v>Jubilee House (South)NHSE Corporate</v>
      </c>
      <c r="E34" s="24">
        <v>0.6652654004546189</v>
      </c>
      <c r="F34" s="35" t="s">
        <v>4351</v>
      </c>
    </row>
    <row r="35" spans="1:6" hidden="1" x14ac:dyDescent="0.25">
      <c r="A35" s="97">
        <v>5659</v>
      </c>
      <c r="B35" s="35" t="str">
        <f>VLOOKUP(A35,'Properties List'!$A$2:$C$299,3,FALSE)</f>
        <v>Oakley Road PCT Headquarters</v>
      </c>
      <c r="C35" t="s">
        <v>4350</v>
      </c>
      <c r="D35" t="str">
        <f t="shared" si="1"/>
        <v>Oakley Road PCT HeadquartersNHSE Corporate</v>
      </c>
      <c r="E35" s="24">
        <v>0.61121487392817719</v>
      </c>
      <c r="F35" s="35" t="s">
        <v>4351</v>
      </c>
    </row>
    <row r="36" spans="1:6" hidden="1" x14ac:dyDescent="0.25">
      <c r="A36" s="97">
        <v>5699</v>
      </c>
      <c r="B36" s="35" t="str">
        <f>VLOOKUP(A36,'Properties List'!$A$2:$C$299,3,FALSE)</f>
        <v>Leeds City Office Park</v>
      </c>
      <c r="C36" t="s">
        <v>4350</v>
      </c>
      <c r="D36" t="str">
        <f t="shared" si="1"/>
        <v>Leeds City Office ParkNHSE Corporate</v>
      </c>
      <c r="E36" s="24">
        <v>1</v>
      </c>
      <c r="F36" s="35" t="s">
        <v>4351</v>
      </c>
    </row>
    <row r="37" spans="1:6" hidden="1" x14ac:dyDescent="0.25">
      <c r="A37" s="97">
        <v>5877</v>
      </c>
      <c r="B37" s="35" t="str">
        <f>VLOOKUP(A37,'Properties List'!$A$2:$C$299,3,FALSE)</f>
        <v>Southside (2nd Floor)</v>
      </c>
      <c r="C37" t="s">
        <v>4350</v>
      </c>
      <c r="D37" t="str">
        <f t="shared" si="1"/>
        <v>Southside (2nd Floor)NHSE Corporate</v>
      </c>
      <c r="E37" s="24">
        <v>1</v>
      </c>
      <c r="F37" s="35" t="s">
        <v>4351</v>
      </c>
    </row>
    <row r="38" spans="1:6" hidden="1" x14ac:dyDescent="0.25">
      <c r="A38" s="97">
        <v>5882</v>
      </c>
      <c r="B38" s="35" t="str">
        <f>VLOOKUP(A38,'Properties List'!$A$2:$C$299,3,FALSE)</f>
        <v>South West House</v>
      </c>
      <c r="C38" t="s">
        <v>4350</v>
      </c>
      <c r="D38" t="str">
        <f t="shared" si="1"/>
        <v>South West HouseNHSE Corporate</v>
      </c>
      <c r="E38" s="24">
        <v>0.27175709696286443</v>
      </c>
      <c r="F38" s="35" t="s">
        <v>4351</v>
      </c>
    </row>
    <row r="39" spans="1:6" hidden="1" x14ac:dyDescent="0.25">
      <c r="A39" s="96">
        <v>5895</v>
      </c>
      <c r="B39" s="35" t="str">
        <f>VLOOKUP(A39,'Properties List'!$A$2:$C$299,3,FALSE)</f>
        <v>Victoria House East Wing</v>
      </c>
      <c r="C39" t="s">
        <v>4350</v>
      </c>
      <c r="D39" t="str">
        <f t="shared" si="1"/>
        <v>Victoria House East WingNHSE Corporate</v>
      </c>
      <c r="E39" s="24">
        <v>0.11747229279113597</v>
      </c>
      <c r="F39" s="35" t="s">
        <v>4351</v>
      </c>
    </row>
    <row r="40" spans="1:6" hidden="1" x14ac:dyDescent="0.25">
      <c r="A40" s="95">
        <v>5896</v>
      </c>
      <c r="B40" s="35" t="str">
        <f>VLOOKUP(A40,'Properties List'!$A$2:$C$299,3,FALSE)</f>
        <v>Victoria House West Wing</v>
      </c>
      <c r="C40" t="s">
        <v>4350</v>
      </c>
      <c r="D40" t="str">
        <f t="shared" si="1"/>
        <v>Victoria House West WingNHSE Corporate</v>
      </c>
      <c r="E40" s="24">
        <v>0.29321895571379886</v>
      </c>
      <c r="F40" s="35" t="s">
        <v>4351</v>
      </c>
    </row>
    <row r="41" spans="1:6" hidden="1" x14ac:dyDescent="0.25">
      <c r="A41" s="8">
        <v>5901</v>
      </c>
      <c r="B41" s="35" t="str">
        <f>VLOOKUP(A41,'Properties List'!$A$2:$C$299,3,FALSE)</f>
        <v>Southside (4th Floor)</v>
      </c>
      <c r="C41" t="s">
        <v>4350</v>
      </c>
      <c r="D41" t="str">
        <f t="shared" si="1"/>
        <v>Southside (4th Floor)NHSE Corporate</v>
      </c>
      <c r="E41" s="24">
        <v>1</v>
      </c>
      <c r="F41" s="35" t="s">
        <v>4351</v>
      </c>
    </row>
    <row r="42" spans="1:6" hidden="1" x14ac:dyDescent="0.25">
      <c r="A42" s="8">
        <v>5902</v>
      </c>
      <c r="B42" s="35" t="str">
        <f>VLOOKUP(A42,'Properties List'!$A$2:$C$299,3,FALSE)</f>
        <v>Southside (Mezzanine)</v>
      </c>
      <c r="C42" t="s">
        <v>4350</v>
      </c>
      <c r="D42" t="str">
        <f t="shared" si="1"/>
        <v>Southside (Mezzanine)NHSE Corporate</v>
      </c>
      <c r="E42" s="24">
        <v>1</v>
      </c>
      <c r="F42" s="35" t="s">
        <v>4351</v>
      </c>
    </row>
    <row r="43" spans="1:6" hidden="1" x14ac:dyDescent="0.25">
      <c r="A43" s="69">
        <v>5909</v>
      </c>
      <c r="B43" s="35" t="str">
        <f>VLOOKUP(A43,'Properties List'!$A$2:$C$299,3,FALSE)</f>
        <v>Waterfront 4 (1st Floor)</v>
      </c>
      <c r="C43" t="s">
        <v>4350</v>
      </c>
      <c r="D43" t="str">
        <f t="shared" si="1"/>
        <v>Waterfront 4 (1st Floor)NHSE Corporate</v>
      </c>
      <c r="E43" s="24">
        <v>0.82745011214539432</v>
      </c>
      <c r="F43" s="35" t="s">
        <v>4351</v>
      </c>
    </row>
    <row r="44" spans="1:6" hidden="1" x14ac:dyDescent="0.25">
      <c r="A44" s="8">
        <v>5910</v>
      </c>
      <c r="B44" s="35" t="str">
        <f>VLOOKUP(A44,'Properties List'!$A$2:$C$299,3,FALSE)</f>
        <v>Waterfront 4 (Ground Floor)</v>
      </c>
      <c r="C44" t="s">
        <v>4350</v>
      </c>
      <c r="D44" t="str">
        <f t="shared" si="1"/>
        <v>Waterfront 4 (Ground Floor)NHSE Corporate</v>
      </c>
      <c r="E44" s="24">
        <v>0.35794845346832971</v>
      </c>
      <c r="F44" s="35" t="s">
        <v>4351</v>
      </c>
    </row>
    <row r="45" spans="1:6" hidden="1" x14ac:dyDescent="0.25">
      <c r="A45" s="8">
        <v>5912</v>
      </c>
      <c r="B45" s="35" t="str">
        <f>VLOOKUP(A45,'Properties List'!$A$2:$C$299,3,FALSE)</f>
        <v>Waterfront 4 (2nd Floor)</v>
      </c>
      <c r="C45" t="s">
        <v>4350</v>
      </c>
      <c r="D45" t="str">
        <f t="shared" si="1"/>
        <v>Waterfront 4 (2nd Floor)NHSE Corporate</v>
      </c>
      <c r="E45" s="24">
        <v>0.55924272900713923</v>
      </c>
      <c r="F45" s="35" t="s">
        <v>4351</v>
      </c>
    </row>
    <row r="46" spans="1:6" hidden="1" x14ac:dyDescent="0.25">
      <c r="A46" s="8">
        <v>5922</v>
      </c>
      <c r="B46" s="35" t="str">
        <f>VLOOKUP(A46,'Properties List'!$A$2:$C$299,3,FALSE)</f>
        <v>York House</v>
      </c>
      <c r="C46" t="s">
        <v>4350</v>
      </c>
      <c r="D46" t="str">
        <f t="shared" si="1"/>
        <v>York HouseNHSE Corporate</v>
      </c>
      <c r="E46" s="24">
        <v>0.81310124514466187</v>
      </c>
      <c r="F46" s="35" t="s">
        <v>4351</v>
      </c>
    </row>
    <row r="47" spans="1:6" hidden="1" x14ac:dyDescent="0.25">
      <c r="A47" s="68">
        <v>5925</v>
      </c>
      <c r="B47" s="35" t="str">
        <f>VLOOKUP(A47,'Properties List'!$A$2:$C$299,3,FALSE)</f>
        <v>St Chads Court</v>
      </c>
      <c r="C47" t="s">
        <v>4350</v>
      </c>
      <c r="D47" t="str">
        <f t="shared" si="1"/>
        <v>St Chads CourtNHSE Corporate</v>
      </c>
      <c r="E47" s="24">
        <v>0.40861232303445816</v>
      </c>
      <c r="F47" s="35" t="s">
        <v>4351</v>
      </c>
    </row>
    <row r="48" spans="1:6" x14ac:dyDescent="0.25">
      <c r="A48" s="68">
        <v>6106</v>
      </c>
      <c r="B48" s="35" t="str">
        <f>VLOOKUP(A48,'Properties List'!$A$2:$C$299,3,FALSE)</f>
        <v>3 Piccadilly Place (Part 5th Floor)</v>
      </c>
      <c r="C48" t="s">
        <v>4350</v>
      </c>
      <c r="D48" t="str">
        <f t="shared" si="1"/>
        <v>3 Piccadilly Place (Part 5th Floor)NHSE Corporate</v>
      </c>
      <c r="E48" s="24" t="s">
        <v>4411</v>
      </c>
      <c r="F48" s="35" t="s">
        <v>4351</v>
      </c>
    </row>
    <row r="49" spans="1:6" x14ac:dyDescent="0.25">
      <c r="A49" s="8">
        <v>6107</v>
      </c>
      <c r="B49" s="35" t="str">
        <f>VLOOKUP(A49,'Properties List'!$A$2:$C$299,3,FALSE)</f>
        <v>3 Piccadilly Place (4th Floor)</v>
      </c>
      <c r="C49" t="s">
        <v>4350</v>
      </c>
      <c r="D49" t="str">
        <f t="shared" si="1"/>
        <v>3 Piccadilly Place (4th Floor)NHSE Corporate</v>
      </c>
      <c r="E49" s="24" t="s">
        <v>4411</v>
      </c>
      <c r="F49" s="35" t="s">
        <v>4351</v>
      </c>
    </row>
    <row r="50" spans="1:6" hidden="1" x14ac:dyDescent="0.25">
      <c r="A50" s="8">
        <v>4</v>
      </c>
      <c r="B50" s="35" t="str">
        <f>VLOOKUP(A50,'Properties List'!$A$2:$C$299,3,FALSE)</f>
        <v>Christchurch House</v>
      </c>
      <c r="C50" t="s">
        <v>4347</v>
      </c>
      <c r="D50" t="str">
        <f t="shared" si="1"/>
        <v>Christchurch HouseCSU</v>
      </c>
      <c r="E50" s="24" t="s">
        <v>4387</v>
      </c>
      <c r="F50" s="35" t="s">
        <v>4348</v>
      </c>
    </row>
    <row r="51" spans="1:6" hidden="1" x14ac:dyDescent="0.25">
      <c r="A51" s="8">
        <v>10</v>
      </c>
      <c r="B51" s="35" t="str">
        <f>VLOOKUP(A51,'Properties List'!$A$2:$C$299,3,FALSE)</f>
        <v>Parkside House</v>
      </c>
      <c r="C51" t="s">
        <v>4347</v>
      </c>
      <c r="D51" t="str">
        <f t="shared" si="1"/>
        <v>Parkside HouseCSU</v>
      </c>
      <c r="E51" s="24">
        <v>0.23542772235194229</v>
      </c>
      <c r="F51" s="35" t="s">
        <v>4348</v>
      </c>
    </row>
    <row r="52" spans="1:6" hidden="1" x14ac:dyDescent="0.25">
      <c r="A52" s="8">
        <v>243</v>
      </c>
      <c r="B52" s="35" t="str">
        <f>VLOOKUP(A52,'Properties List'!$A$2:$C$299,3,FALSE)</f>
        <v>Westgate House</v>
      </c>
      <c r="C52" t="s">
        <v>4347</v>
      </c>
      <c r="D52" t="str">
        <f t="shared" si="1"/>
        <v>Westgate HouseCSU</v>
      </c>
      <c r="E52" s="24">
        <v>0.63066678334645987</v>
      </c>
      <c r="F52" s="35" t="s">
        <v>4348</v>
      </c>
    </row>
    <row r="53" spans="1:6" hidden="1" x14ac:dyDescent="0.25">
      <c r="A53" s="68">
        <v>251</v>
      </c>
      <c r="B53" s="35" t="str">
        <f>VLOOKUP(A53,'Properties List'!$A$2:$C$299,3,FALSE)</f>
        <v>Wildwood</v>
      </c>
      <c r="C53" t="s">
        <v>4347</v>
      </c>
      <c r="D53" t="str">
        <f t="shared" si="1"/>
        <v>WildwoodCSU</v>
      </c>
      <c r="E53" s="24">
        <v>0.11040492055356228</v>
      </c>
      <c r="F53" s="35" t="s">
        <v>4348</v>
      </c>
    </row>
    <row r="54" spans="1:6" hidden="1" x14ac:dyDescent="0.25">
      <c r="A54" s="8">
        <v>255</v>
      </c>
      <c r="B54" s="35" t="str">
        <f>VLOOKUP(A54,'Properties List'!$A$2:$C$299,3,FALSE)</f>
        <v>The Triangle</v>
      </c>
      <c r="C54" t="s">
        <v>4347</v>
      </c>
      <c r="D54" t="str">
        <f t="shared" si="1"/>
        <v>The TriangleCSU</v>
      </c>
      <c r="E54" s="24">
        <v>1</v>
      </c>
      <c r="F54" s="35" t="s">
        <v>4348</v>
      </c>
    </row>
    <row r="55" spans="1:6" hidden="1" x14ac:dyDescent="0.25">
      <c r="A55" s="8">
        <v>409</v>
      </c>
      <c r="B55" s="35" t="str">
        <f>VLOOKUP(A55,'Properties List'!$A$2:$C$299,3,FALSE)</f>
        <v>St Martins Hospital</v>
      </c>
      <c r="C55" t="s">
        <v>4347</v>
      </c>
      <c r="D55" t="str">
        <f t="shared" si="1"/>
        <v>St Martins HospitalCSU</v>
      </c>
      <c r="E55" s="24">
        <v>0.19172805382893307</v>
      </c>
      <c r="F55" s="35" t="s">
        <v>4353</v>
      </c>
    </row>
    <row r="56" spans="1:6" hidden="1" x14ac:dyDescent="0.25">
      <c r="A56" s="8">
        <v>424</v>
      </c>
      <c r="B56" s="35" t="str">
        <f>VLOOKUP(A56,'Properties List'!$A$2:$C$299,3,FALSE)</f>
        <v>Sanger House</v>
      </c>
      <c r="C56" t="s">
        <v>4347</v>
      </c>
      <c r="D56" t="str">
        <f t="shared" si="1"/>
        <v>Sanger HouseCSU</v>
      </c>
      <c r="E56" s="24">
        <v>9.8515087853323149E-2</v>
      </c>
      <c r="F56" s="35" t="s">
        <v>4353</v>
      </c>
    </row>
    <row r="57" spans="1:6" hidden="1" x14ac:dyDescent="0.25">
      <c r="A57" s="8">
        <v>444</v>
      </c>
      <c r="B57" s="35" t="str">
        <f>VLOOKUP(A57,'Properties List'!$A$2:$C$299,3,FALSE)</f>
        <v>West Swindon HC</v>
      </c>
      <c r="C57" t="s">
        <v>4347</v>
      </c>
      <c r="D57" t="str">
        <f t="shared" si="1"/>
        <v>West Swindon HCCSU</v>
      </c>
      <c r="E57" s="24">
        <v>0.12254314899612541</v>
      </c>
      <c r="F57" s="35" t="s">
        <v>4353</v>
      </c>
    </row>
    <row r="58" spans="1:6" x14ac:dyDescent="0.25">
      <c r="A58" s="8">
        <v>448</v>
      </c>
      <c r="B58" s="35" t="str">
        <f>VLOOKUP(A58,'Properties List'!$A$2:$C$299,3,FALSE)</f>
        <v>priory road medical centre</v>
      </c>
      <c r="C58" t="s">
        <v>4347</v>
      </c>
      <c r="D58" t="str">
        <f t="shared" si="1"/>
        <v>priory road medical centreCSU</v>
      </c>
      <c r="E58" s="24" t="s">
        <v>4411</v>
      </c>
      <c r="F58" s="35" t="s">
        <v>4353</v>
      </c>
    </row>
    <row r="59" spans="1:6" hidden="1" x14ac:dyDescent="0.25">
      <c r="A59" s="8">
        <v>458</v>
      </c>
      <c r="B59" s="35" t="str">
        <f>VLOOKUP(A59,'Properties List'!$A$2:$C$299,3,FALSE)</f>
        <v>Southgate House</v>
      </c>
      <c r="C59" t="s">
        <v>4347</v>
      </c>
      <c r="D59" t="str">
        <f t="shared" si="1"/>
        <v>Southgate HouseCSU</v>
      </c>
      <c r="E59" s="24">
        <v>0.34952954346050286</v>
      </c>
      <c r="F59" s="35" t="s">
        <v>4353</v>
      </c>
    </row>
    <row r="60" spans="1:6" hidden="1" x14ac:dyDescent="0.25">
      <c r="A60" s="8">
        <v>664</v>
      </c>
      <c r="B60" s="35" t="str">
        <f>VLOOKUP(A60,'Properties List'!$A$2:$C$299,3,FALSE)</f>
        <v>Kingston House</v>
      </c>
      <c r="C60" t="s">
        <v>4347</v>
      </c>
      <c r="D60" t="str">
        <f t="shared" si="1"/>
        <v>Kingston HouseCSU</v>
      </c>
      <c r="E60" s="24">
        <v>0.82022294976306087</v>
      </c>
      <c r="F60" s="35" t="s">
        <v>4354</v>
      </c>
    </row>
    <row r="61" spans="1:6" hidden="1" x14ac:dyDescent="0.25">
      <c r="A61" s="8">
        <v>822</v>
      </c>
      <c r="B61" s="35" t="str">
        <f>VLOOKUP(A61,'Properties List'!$A$2:$C$299,3,FALSE)</f>
        <v>Castlewood Phase 2</v>
      </c>
      <c r="C61" t="s">
        <v>4347</v>
      </c>
      <c r="D61" t="str">
        <f t="shared" si="1"/>
        <v>Castlewood Phase 2CSU</v>
      </c>
      <c r="E61" s="24" t="s">
        <v>4387</v>
      </c>
      <c r="F61" s="35" t="s">
        <v>4355</v>
      </c>
    </row>
    <row r="62" spans="1:6" hidden="1" x14ac:dyDescent="0.25">
      <c r="A62" s="8">
        <v>843</v>
      </c>
      <c r="B62" s="35" t="str">
        <f>VLOOKUP(A62,'Properties List'!$A$2:$C$299,3,FALSE)</f>
        <v>Mallard Court Express Park</v>
      </c>
      <c r="C62" t="s">
        <v>4347</v>
      </c>
      <c r="D62" t="str">
        <f t="shared" si="1"/>
        <v>Mallard Court Express ParkCSU</v>
      </c>
      <c r="E62" s="24">
        <v>0.38099022952853595</v>
      </c>
      <c r="F62" s="35" t="s">
        <v>4356</v>
      </c>
    </row>
    <row r="63" spans="1:6" hidden="1" x14ac:dyDescent="0.25">
      <c r="A63" s="68">
        <v>881</v>
      </c>
      <c r="B63" s="35" t="str">
        <f>VLOOKUP(A63,'Properties List'!$A$2:$C$299,3,FALSE)</f>
        <v>South Plaza (Lower Ground, First, Fourth, Fifth &amp; Sixth Floors)</v>
      </c>
      <c r="C63" t="s">
        <v>4347</v>
      </c>
      <c r="D63" t="str">
        <f t="shared" si="1"/>
        <v>South Plaza (Lower Ground, First, Fourth, Fifth &amp; Sixth Floors)CSU</v>
      </c>
      <c r="E63" s="24">
        <v>0.26973099487560187</v>
      </c>
      <c r="F63" s="35" t="s">
        <v>4355</v>
      </c>
    </row>
    <row r="64" spans="1:6" hidden="1" x14ac:dyDescent="0.25">
      <c r="A64" s="8">
        <v>923</v>
      </c>
      <c r="B64" s="35" t="str">
        <f>VLOOKUP(A64,'Properties List'!$A$2:$C$299,3,FALSE)</f>
        <v>Wynford House</v>
      </c>
      <c r="C64" t="s">
        <v>4347</v>
      </c>
      <c r="D64" t="str">
        <f t="shared" si="1"/>
        <v>Wynford HouseCSU</v>
      </c>
      <c r="E64" s="24">
        <v>0.2573455090446482</v>
      </c>
      <c r="F64" s="35" t="s">
        <v>4356</v>
      </c>
    </row>
    <row r="65" spans="1:6" hidden="1" x14ac:dyDescent="0.25">
      <c r="A65" s="8">
        <v>997</v>
      </c>
      <c r="B65" s="35" t="str">
        <f>VLOOKUP(A65,'Properties List'!$A$2:$C$299,3,FALSE)</f>
        <v>Clark House</v>
      </c>
      <c r="C65" t="s">
        <v>4347</v>
      </c>
      <c r="D65" t="str">
        <f t="shared" si="1"/>
        <v>Clark HouseCSU</v>
      </c>
      <c r="E65" s="24">
        <v>1</v>
      </c>
      <c r="F65" s="35" t="s">
        <v>4357</v>
      </c>
    </row>
    <row r="66" spans="1:6" hidden="1" x14ac:dyDescent="0.25">
      <c r="A66" s="8">
        <v>1046</v>
      </c>
      <c r="B66" s="35" t="str">
        <f>VLOOKUP(A66,'Properties List'!$A$2:$C$299,3,FALSE)</f>
        <v>1829 Building</v>
      </c>
      <c r="C66" t="s">
        <v>4347</v>
      </c>
      <c r="D66" t="str">
        <f t="shared" ref="D66:D97" si="2">B66&amp;C66</f>
        <v>1829 BuildingCSU</v>
      </c>
      <c r="E66" s="24">
        <v>0.77486972932906217</v>
      </c>
      <c r="F66" s="35" t="s">
        <v>4357</v>
      </c>
    </row>
    <row r="67" spans="1:6" hidden="1" x14ac:dyDescent="0.25">
      <c r="A67" s="8">
        <v>1049</v>
      </c>
      <c r="B67" s="35" t="str">
        <f>VLOOKUP(A67,'Properties List'!$A$2:$C$299,3,FALSE)</f>
        <v>Quayside Building part</v>
      </c>
      <c r="C67" t="s">
        <v>4347</v>
      </c>
      <c r="D67" t="str">
        <f t="shared" si="2"/>
        <v>Quayside Building partCSU</v>
      </c>
      <c r="E67" s="24">
        <v>0.24656828877214482</v>
      </c>
      <c r="F67" s="35" t="s">
        <v>4357</v>
      </c>
    </row>
    <row r="68" spans="1:6" hidden="1" x14ac:dyDescent="0.25">
      <c r="A68" s="68">
        <v>1070</v>
      </c>
      <c r="B68" s="35" t="str">
        <f>VLOOKUP(A68,'Properties List'!$A$2:$C$299,3,FALSE)</f>
        <v>Old Market House</v>
      </c>
      <c r="C68" t="s">
        <v>4347</v>
      </c>
      <c r="D68" t="str">
        <f t="shared" si="2"/>
        <v>Old Market HouseCSU</v>
      </c>
      <c r="E68" s="24">
        <v>0.16678335463984037</v>
      </c>
      <c r="F68" s="35" t="s">
        <v>4357</v>
      </c>
    </row>
    <row r="69" spans="1:6" hidden="1" x14ac:dyDescent="0.25">
      <c r="A69" s="11">
        <v>1194</v>
      </c>
      <c r="B69" s="35" t="str">
        <f>VLOOKUP(A69,'Properties List'!$A$2:$C$299,3,FALSE)</f>
        <v>RIDLEY HOUSE</v>
      </c>
      <c r="C69" t="s">
        <v>4347</v>
      </c>
      <c r="D69" t="str">
        <f t="shared" si="2"/>
        <v>RIDLEY HOUSECSU</v>
      </c>
      <c r="E69" s="24">
        <v>0.26179268456076099</v>
      </c>
      <c r="F69" s="35" t="s">
        <v>4358</v>
      </c>
    </row>
    <row r="70" spans="1:6" hidden="1" x14ac:dyDescent="0.25">
      <c r="A70" s="8">
        <v>1356</v>
      </c>
      <c r="B70" s="35" t="str">
        <f>VLOOKUP(A70,'Properties List'!$A$2:$C$299,3,FALSE)</f>
        <v>Cardinal Square</v>
      </c>
      <c r="C70" t="s">
        <v>4347</v>
      </c>
      <c r="D70" t="str">
        <f t="shared" si="2"/>
        <v>Cardinal SquareCSU</v>
      </c>
      <c r="E70" s="24">
        <v>0.29802347411375357</v>
      </c>
      <c r="F70" s="35" t="s">
        <v>4359</v>
      </c>
    </row>
    <row r="71" spans="1:6" hidden="1" x14ac:dyDescent="0.25">
      <c r="A71" s="94">
        <v>1386</v>
      </c>
      <c r="B71" s="35" t="str">
        <f>VLOOKUP(A71,'Properties List'!$A$2:$C$299,3,FALSE)</f>
        <v>Scarsdale</v>
      </c>
      <c r="C71" t="s">
        <v>4347</v>
      </c>
      <c r="D71" t="str">
        <f t="shared" si="2"/>
        <v>ScarsdaleCSU</v>
      </c>
      <c r="E71" s="24">
        <v>0.3215888496961451</v>
      </c>
      <c r="F71" s="35" t="s">
        <v>4359</v>
      </c>
    </row>
    <row r="72" spans="1:6" hidden="1" x14ac:dyDescent="0.25">
      <c r="A72" s="68">
        <v>1424</v>
      </c>
      <c r="B72" s="35" t="str">
        <f>VLOOKUP(A72,'Properties List'!$A$2:$C$299,3,FALSE)</f>
        <v>Birch House</v>
      </c>
      <c r="C72" t="s">
        <v>4347</v>
      </c>
      <c r="D72" t="str">
        <f t="shared" si="2"/>
        <v>Birch HouseCSU</v>
      </c>
      <c r="E72" s="24">
        <v>0.15117304719468944</v>
      </c>
      <c r="F72" s="35" t="s">
        <v>4359</v>
      </c>
    </row>
    <row r="73" spans="1:6" hidden="1" x14ac:dyDescent="0.25">
      <c r="A73" s="8">
        <v>1733</v>
      </c>
      <c r="B73" s="35" t="str">
        <f>VLOOKUP(A73,'Properties List'!$A$2:$C$299,3,FALSE)</f>
        <v>Appleton House</v>
      </c>
      <c r="C73" t="s">
        <v>4347</v>
      </c>
      <c r="D73" t="str">
        <f t="shared" si="2"/>
        <v>Appleton HouseCSU</v>
      </c>
      <c r="E73" s="24">
        <v>0.65532213376354664</v>
      </c>
      <c r="F73" s="35" t="s">
        <v>4358</v>
      </c>
    </row>
    <row r="74" spans="1:6" hidden="1" x14ac:dyDescent="0.25">
      <c r="A74" s="8">
        <v>1812</v>
      </c>
      <c r="B74" s="35" t="str">
        <f>VLOOKUP(A74,'Properties List'!$A$2:$C$299,3,FALSE)</f>
        <v>Riverside House - Unit 17/18 now 20 for CSU</v>
      </c>
      <c r="C74" t="s">
        <v>4347</v>
      </c>
      <c r="D74" t="str">
        <f t="shared" si="2"/>
        <v>Riverside House - Unit 17/18 now 20 for CSUCSU</v>
      </c>
      <c r="E74" s="24">
        <v>1</v>
      </c>
      <c r="F74" s="35" t="s">
        <v>4358</v>
      </c>
    </row>
    <row r="75" spans="1:6" hidden="1" x14ac:dyDescent="0.25">
      <c r="A75" s="68">
        <v>1855</v>
      </c>
      <c r="B75" s="35" t="str">
        <f>VLOOKUP(A75,'Properties List'!$A$2:$C$299,3,FALSE)</f>
        <v>Teesdale House</v>
      </c>
      <c r="C75" t="s">
        <v>4347</v>
      </c>
      <c r="D75" t="str">
        <f t="shared" si="2"/>
        <v>Teesdale HouseCSU</v>
      </c>
      <c r="E75" s="24">
        <v>1</v>
      </c>
      <c r="F75" s="35" t="s">
        <v>4358</v>
      </c>
    </row>
    <row r="76" spans="1:6" hidden="1" x14ac:dyDescent="0.25">
      <c r="A76" s="68">
        <v>1984</v>
      </c>
      <c r="B76" s="35" t="str">
        <f>VLOOKUP(A76,'Properties List'!$A$2:$C$299,3,FALSE)</f>
        <v>Beccles HQ &amp; Warehouse</v>
      </c>
      <c r="C76" t="s">
        <v>4347</v>
      </c>
      <c r="D76" t="str">
        <f t="shared" si="2"/>
        <v>Beccles HQ &amp; WarehouseCSU</v>
      </c>
      <c r="E76" s="24">
        <v>0.15366247204426198</v>
      </c>
      <c r="F76" s="35" t="s">
        <v>4360</v>
      </c>
    </row>
    <row r="77" spans="1:6" hidden="1" x14ac:dyDescent="0.25">
      <c r="A77" s="8">
        <v>2065</v>
      </c>
      <c r="B77" s="35" t="str">
        <f>VLOOKUP(A77,'Properties List'!$A$2:$C$299,3,FALSE)</f>
        <v>Lakeside</v>
      </c>
      <c r="C77" t="s">
        <v>4347</v>
      </c>
      <c r="D77" t="str">
        <f t="shared" si="2"/>
        <v>LakesideCSU</v>
      </c>
      <c r="E77" s="24">
        <v>0.65206185567010289</v>
      </c>
      <c r="F77" s="35" t="s">
        <v>4360</v>
      </c>
    </row>
    <row r="78" spans="1:6" hidden="1" x14ac:dyDescent="0.25">
      <c r="A78" s="8">
        <v>2066</v>
      </c>
      <c r="B78" s="35" t="str">
        <f>VLOOKUP(A78,'Properties List'!$A$2:$C$299,3,FALSE)</f>
        <v>Makro Car Park Lakeside Overflow</v>
      </c>
      <c r="C78" t="s">
        <v>4347</v>
      </c>
      <c r="D78" t="str">
        <f t="shared" si="2"/>
        <v>Makro Car Park Lakeside OverflowCSU</v>
      </c>
      <c r="E78" s="24" t="s">
        <v>4352</v>
      </c>
      <c r="F78" s="35" t="s">
        <v>4360</v>
      </c>
    </row>
    <row r="79" spans="1:6" hidden="1" x14ac:dyDescent="0.25">
      <c r="A79" s="8">
        <v>2215</v>
      </c>
      <c r="B79" s="35" t="str">
        <f>VLOOKUP(A79,'Properties List'!$A$2:$C$299,3,FALSE)</f>
        <v>Collingwood Road</v>
      </c>
      <c r="C79" t="s">
        <v>4347</v>
      </c>
      <c r="D79" t="str">
        <f t="shared" si="2"/>
        <v>Collingwood RoadCSU</v>
      </c>
      <c r="E79" s="24">
        <v>0.13330628853115992</v>
      </c>
      <c r="F79" s="35" t="s">
        <v>4361</v>
      </c>
    </row>
    <row r="80" spans="1:6" hidden="1" x14ac:dyDescent="0.25">
      <c r="A80" s="68">
        <v>2351</v>
      </c>
      <c r="B80" s="35" t="str">
        <f>VLOOKUP(A80,'Properties List'!$A$2:$C$299,3,FALSE)</f>
        <v>Phoenix House (Unit 6)</v>
      </c>
      <c r="C80" t="s">
        <v>4347</v>
      </c>
      <c r="D80" t="str">
        <f t="shared" si="2"/>
        <v>Phoenix House (Unit 6)CSU</v>
      </c>
      <c r="E80" s="24">
        <v>1</v>
      </c>
      <c r="F80" s="35" t="s">
        <v>4361</v>
      </c>
    </row>
    <row r="81" spans="1:6" hidden="1" x14ac:dyDescent="0.25">
      <c r="A81" s="8">
        <v>2447</v>
      </c>
      <c r="B81" s="35" t="str">
        <f>VLOOKUP(A81,'Properties List'!$A$2:$C$299,3,FALSE)</f>
        <v>St James House (4th Floor Front Wing)</v>
      </c>
      <c r="C81" t="s">
        <v>4347</v>
      </c>
      <c r="D81" t="str">
        <f t="shared" si="2"/>
        <v>St James House (4th Floor Front Wing)CSU</v>
      </c>
      <c r="E81" s="24">
        <v>0.72033632446254381</v>
      </c>
      <c r="F81" s="35" t="s">
        <v>4362</v>
      </c>
    </row>
    <row r="82" spans="1:6" hidden="1" x14ac:dyDescent="0.25">
      <c r="A82" s="8">
        <v>2529</v>
      </c>
      <c r="B82" s="35" t="str">
        <f>VLOOKUP(A82,'Properties List'!$A$2:$C$299,3,FALSE)</f>
        <v>Silver Street Health Centre</v>
      </c>
      <c r="C82" t="s">
        <v>4347</v>
      </c>
      <c r="D82" t="str">
        <f t="shared" si="2"/>
        <v>Silver Street Health CentreCSU</v>
      </c>
      <c r="E82" s="24">
        <v>8.9102879696926721E-2</v>
      </c>
      <c r="F82" s="35" t="s">
        <v>4362</v>
      </c>
    </row>
    <row r="83" spans="1:6" hidden="1" x14ac:dyDescent="0.25">
      <c r="A83" s="8">
        <v>2555</v>
      </c>
      <c r="B83" s="35" t="str">
        <f>VLOOKUP(A83,'Properties List'!$A$2:$C$299,3,FALSE)</f>
        <v>Sherwood Business Park</v>
      </c>
      <c r="C83" t="s">
        <v>4347</v>
      </c>
      <c r="D83" t="str">
        <f t="shared" si="2"/>
        <v>Sherwood Business ParkCSU</v>
      </c>
      <c r="E83" s="24">
        <v>0.94048664137942461</v>
      </c>
      <c r="F83" s="35" t="s">
        <v>4363</v>
      </c>
    </row>
    <row r="84" spans="1:6" hidden="1" x14ac:dyDescent="0.25">
      <c r="A84" s="8">
        <v>2610</v>
      </c>
      <c r="B84" s="35" t="str">
        <f>VLOOKUP(A84,'Properties List'!$A$2:$C$299,3,FALSE)</f>
        <v>Waulk Mill</v>
      </c>
      <c r="C84" t="s">
        <v>4347</v>
      </c>
      <c r="D84" t="str">
        <f t="shared" si="2"/>
        <v>Waulk MillCSU</v>
      </c>
      <c r="E84" s="24">
        <v>1</v>
      </c>
      <c r="F84" s="35" t="s">
        <v>4362</v>
      </c>
    </row>
    <row r="85" spans="1:6" x14ac:dyDescent="0.25">
      <c r="A85" s="68">
        <v>2648</v>
      </c>
      <c r="B85" s="35" t="str">
        <f>VLOOKUP(A85,'Properties List'!$A$2:$C$299,3,FALSE)</f>
        <v>Sentinel House</v>
      </c>
      <c r="C85" t="s">
        <v>4347</v>
      </c>
      <c r="D85" t="str">
        <f t="shared" si="2"/>
        <v>Sentinel HouseCSU</v>
      </c>
      <c r="E85" s="24" t="s">
        <v>4411</v>
      </c>
      <c r="F85" s="35" t="s">
        <v>4363</v>
      </c>
    </row>
    <row r="86" spans="1:6" hidden="1" x14ac:dyDescent="0.25">
      <c r="A86" s="8">
        <v>2656</v>
      </c>
      <c r="B86" s="35" t="str">
        <f>VLOOKUP(A86,'Properties List'!$A$2:$C$299,3,FALSE)</f>
        <v>St James House (Mezzanine Floor Front Wing)</v>
      </c>
      <c r="C86" t="s">
        <v>4347</v>
      </c>
      <c r="D86" t="str">
        <f t="shared" si="2"/>
        <v>St James House (Mezzanine Floor Front Wing)CSU</v>
      </c>
      <c r="E86" s="24">
        <v>0.72033632446254381</v>
      </c>
      <c r="F86" s="35" t="s">
        <v>4362</v>
      </c>
    </row>
    <row r="87" spans="1:6" hidden="1" x14ac:dyDescent="0.25">
      <c r="A87" s="68">
        <v>2660</v>
      </c>
      <c r="B87" s="35" t="str">
        <f>VLOOKUP(A87,'Properties List'!$A$2:$C$299,3,FALSE)</f>
        <v>St James House (3rd Floor Front Wing)</v>
      </c>
      <c r="C87" t="s">
        <v>4347</v>
      </c>
      <c r="D87" t="str">
        <f t="shared" si="2"/>
        <v>St James House (3rd Floor Front Wing)CSU</v>
      </c>
      <c r="E87" s="24">
        <v>0.72033632446254381</v>
      </c>
      <c r="F87" s="35" t="s">
        <v>4362</v>
      </c>
    </row>
    <row r="88" spans="1:6" hidden="1" x14ac:dyDescent="0.25">
      <c r="A88" s="8">
        <v>2713</v>
      </c>
      <c r="B88" s="35" t="str">
        <f>VLOOKUP(A88,'Properties List'!$A$2:$C$299,3,FALSE)</f>
        <v>New Century House</v>
      </c>
      <c r="C88" t="s">
        <v>4347</v>
      </c>
      <c r="D88" t="str">
        <f t="shared" si="2"/>
        <v>New Century HouseCSU</v>
      </c>
      <c r="E88" s="24">
        <v>4.9397085126958722E-2</v>
      </c>
      <c r="F88" s="35" t="s">
        <v>4364</v>
      </c>
    </row>
    <row r="89" spans="1:6" hidden="1" x14ac:dyDescent="0.25">
      <c r="A89" s="8">
        <v>2993</v>
      </c>
      <c r="B89" s="35" t="str">
        <f>VLOOKUP(A89,'Properties List'!$A$2:$C$299,3,FALSE)</f>
        <v>Sherwood House Bletchley</v>
      </c>
      <c r="C89" t="s">
        <v>4347</v>
      </c>
      <c r="D89" t="str">
        <f t="shared" si="2"/>
        <v>Sherwood House BletchleyCSU</v>
      </c>
      <c r="E89" s="24">
        <v>0.11875605765322607</v>
      </c>
      <c r="F89" s="35" t="s">
        <v>4365</v>
      </c>
    </row>
    <row r="90" spans="1:6" hidden="1" x14ac:dyDescent="0.25">
      <c r="A90" s="8">
        <v>2994</v>
      </c>
      <c r="B90" s="35" t="str">
        <f>VLOOKUP(A90,'Properties List'!$A$2:$C$299,3,FALSE)</f>
        <v>Shipley Court</v>
      </c>
      <c r="C90" t="s">
        <v>4347</v>
      </c>
      <c r="D90" t="str">
        <f t="shared" si="2"/>
        <v>Shipley CourtCSU</v>
      </c>
      <c r="E90" s="24">
        <v>0.38989695077580339</v>
      </c>
      <c r="F90" s="35" t="s">
        <v>4359</v>
      </c>
    </row>
    <row r="91" spans="1:6" hidden="1" x14ac:dyDescent="0.25">
      <c r="A91" s="8">
        <v>3017</v>
      </c>
      <c r="B91" s="35" t="str">
        <f>VLOOKUP(A91,'Properties List'!$A$2:$C$299,3,FALSE)</f>
        <v>Francis Crick House</v>
      </c>
      <c r="C91" t="s">
        <v>4347</v>
      </c>
      <c r="D91" t="str">
        <f t="shared" si="2"/>
        <v>Francis Crick HouseCSU</v>
      </c>
      <c r="E91" s="24">
        <v>0.41122639850357323</v>
      </c>
      <c r="F91" s="35" t="s">
        <v>4365</v>
      </c>
    </row>
    <row r="92" spans="1:6" hidden="1" x14ac:dyDescent="0.25">
      <c r="A92" s="8">
        <v>3085</v>
      </c>
      <c r="B92" s="35" t="str">
        <f>VLOOKUP(A92,'Properties List'!$A$2:$C$299,3,FALSE)</f>
        <v>Brook House</v>
      </c>
      <c r="C92" t="s">
        <v>4347</v>
      </c>
      <c r="D92" t="str">
        <f t="shared" si="2"/>
        <v>Brook HouseCSU</v>
      </c>
      <c r="E92" s="24">
        <v>0.59081593664246757</v>
      </c>
      <c r="F92" s="35" t="s">
        <v>4366</v>
      </c>
    </row>
    <row r="93" spans="1:6" hidden="1" x14ac:dyDescent="0.25">
      <c r="A93" s="8">
        <v>3098</v>
      </c>
      <c r="B93" s="35" t="str">
        <f>VLOOKUP(A93,'Properties List'!$A$2:$C$299,3,FALSE)</f>
        <v>Kent House</v>
      </c>
      <c r="C93" t="s">
        <v>4347</v>
      </c>
      <c r="D93" t="str">
        <f t="shared" si="2"/>
        <v>Kent HouseCSU</v>
      </c>
      <c r="E93" s="24">
        <v>1</v>
      </c>
      <c r="F93" s="35" t="s">
        <v>4366</v>
      </c>
    </row>
    <row r="94" spans="1:6" hidden="1" x14ac:dyDescent="0.25">
      <c r="A94" s="8">
        <v>3169</v>
      </c>
      <c r="B94" s="35" t="str">
        <f>VLOOKUP(A94,'Properties List'!$A$2:$C$299,3,FALSE)</f>
        <v>Tenacre Court</v>
      </c>
      <c r="C94" t="s">
        <v>4347</v>
      </c>
      <c r="D94" t="str">
        <f t="shared" si="2"/>
        <v>Tenacre CourtCSU</v>
      </c>
      <c r="E94" s="24">
        <v>1</v>
      </c>
      <c r="F94" s="35" t="s">
        <v>4366</v>
      </c>
    </row>
    <row r="95" spans="1:6" hidden="1" x14ac:dyDescent="0.25">
      <c r="A95" s="8">
        <v>3175</v>
      </c>
      <c r="B95" s="35" t="str">
        <f>VLOOKUP(A95,'Properties List'!$A$2:$C$299,3,FALSE)</f>
        <v>Wharf House</v>
      </c>
      <c r="C95" t="s">
        <v>4347</v>
      </c>
      <c r="D95" t="str">
        <f t="shared" si="2"/>
        <v>Wharf HouseCSU</v>
      </c>
      <c r="E95" s="24">
        <v>5.1299999999999998E-2</v>
      </c>
      <c r="F95" s="35" t="s">
        <v>4366</v>
      </c>
    </row>
    <row r="96" spans="1:6" hidden="1" x14ac:dyDescent="0.25">
      <c r="A96" s="8">
        <v>3326</v>
      </c>
      <c r="B96" s="35" t="str">
        <f>VLOOKUP(A96,'Properties List'!$A$2:$C$299,3,FALSE)</f>
        <v>Croston House Offices</v>
      </c>
      <c r="C96" t="s">
        <v>4347</v>
      </c>
      <c r="D96" t="str">
        <f t="shared" si="2"/>
        <v>Croston House OfficesCSU</v>
      </c>
      <c r="E96" s="24">
        <v>0.15080427483596304</v>
      </c>
      <c r="F96" s="35" t="s">
        <v>4367</v>
      </c>
    </row>
    <row r="97" spans="1:6" hidden="1" x14ac:dyDescent="0.25">
      <c r="A97" s="8">
        <v>3333</v>
      </c>
      <c r="B97" s="35" t="str">
        <f>VLOOKUP(A97,'Properties List'!$A$2:$C$299,3,FALSE)</f>
        <v>Jubilee House (North)</v>
      </c>
      <c r="C97" t="s">
        <v>4347</v>
      </c>
      <c r="D97" t="str">
        <f t="shared" si="2"/>
        <v>Jubilee House (North)CSU</v>
      </c>
      <c r="E97" s="24">
        <v>1</v>
      </c>
      <c r="F97" s="35" t="s">
        <v>4367</v>
      </c>
    </row>
    <row r="98" spans="1:6" hidden="1" x14ac:dyDescent="0.25">
      <c r="A98" s="68">
        <v>3345</v>
      </c>
      <c r="B98" s="35" t="str">
        <f>VLOOKUP(A98,'Properties List'!$A$2:$C$299,3,FALSE)</f>
        <v>Preston Healthport</v>
      </c>
      <c r="C98" t="s">
        <v>4347</v>
      </c>
      <c r="D98" t="str">
        <f t="shared" ref="D98:D129" si="3">B98&amp;C98</f>
        <v>Preston HealthportCSU</v>
      </c>
      <c r="E98" s="24">
        <v>0.70537992920062564</v>
      </c>
      <c r="F98" s="35" t="s">
        <v>4368</v>
      </c>
    </row>
    <row r="99" spans="1:6" hidden="1" x14ac:dyDescent="0.25">
      <c r="A99" s="8">
        <v>3442</v>
      </c>
      <c r="B99" s="35" t="str">
        <f>VLOOKUP(A99,'Properties List'!$A$2:$C$299,3,FALSE)</f>
        <v>St Johns House (3rd Floor)</v>
      </c>
      <c r="C99" t="s">
        <v>4347</v>
      </c>
      <c r="D99" t="str">
        <f t="shared" si="3"/>
        <v>St Johns House (3rd Floor)CSU</v>
      </c>
      <c r="E99" s="24">
        <v>1</v>
      </c>
      <c r="F99" s="35" t="s">
        <v>4365</v>
      </c>
    </row>
    <row r="100" spans="1:6" hidden="1" x14ac:dyDescent="0.25">
      <c r="A100" s="8">
        <v>3539</v>
      </c>
      <c r="B100" s="35" t="str">
        <f>VLOOKUP(A100,'Properties List'!$A$2:$C$299,3,FALSE)</f>
        <v>Cross OCliff Court</v>
      </c>
      <c r="C100" t="s">
        <v>4347</v>
      </c>
      <c r="D100" t="str">
        <f t="shared" si="3"/>
        <v>Cross OCliff CourtCSU</v>
      </c>
      <c r="E100" s="24">
        <v>0.48047268661043385</v>
      </c>
      <c r="F100" s="35" t="s">
        <v>4365</v>
      </c>
    </row>
    <row r="101" spans="1:6" hidden="1" x14ac:dyDescent="0.25">
      <c r="A101" s="8">
        <v>3541</v>
      </c>
      <c r="B101" s="35" t="str">
        <f>VLOOKUP(A101,'Properties List'!$A$2:$C$299,3,FALSE)</f>
        <v>Fen House</v>
      </c>
      <c r="C101" t="s">
        <v>4347</v>
      </c>
      <c r="D101" t="str">
        <f t="shared" si="3"/>
        <v>Fen HouseCSU</v>
      </c>
      <c r="E101" s="24">
        <v>0.34140387385945253</v>
      </c>
      <c r="F101" s="35" t="s">
        <v>4365</v>
      </c>
    </row>
    <row r="102" spans="1:6" hidden="1" x14ac:dyDescent="0.25">
      <c r="A102" s="8">
        <v>3542</v>
      </c>
      <c r="B102" s="35" t="str">
        <f>VLOOKUP(A102,'Properties List'!$A$2:$C$299,3,FALSE)</f>
        <v>Fort Barnes Warehouse</v>
      </c>
      <c r="C102" t="s">
        <v>4347</v>
      </c>
      <c r="D102" t="str">
        <f t="shared" si="3"/>
        <v>Fort Barnes WarehouseCSU</v>
      </c>
      <c r="E102" s="24">
        <v>1</v>
      </c>
      <c r="F102" s="35" t="s">
        <v>4365</v>
      </c>
    </row>
    <row r="103" spans="1:6" hidden="1" x14ac:dyDescent="0.25">
      <c r="A103" s="68">
        <v>3574</v>
      </c>
      <c r="B103" s="35" t="str">
        <f>VLOOKUP(A103,'Properties List'!$A$2:$C$299,3,FALSE)</f>
        <v>Venture House</v>
      </c>
      <c r="C103" t="s">
        <v>4347</v>
      </c>
      <c r="D103" t="str">
        <f t="shared" si="3"/>
        <v>Venture HouseCSU</v>
      </c>
      <c r="E103" s="24">
        <v>5.9553010023034314E-2</v>
      </c>
      <c r="F103" s="35" t="s">
        <v>4359</v>
      </c>
    </row>
    <row r="104" spans="1:6" hidden="1" x14ac:dyDescent="0.25">
      <c r="A104" s="68">
        <v>3720</v>
      </c>
      <c r="B104" s="35" t="str">
        <f>VLOOKUP(A104,'Properties List'!$A$2:$C$299,3,FALSE)</f>
        <v>Bevan House</v>
      </c>
      <c r="C104" t="s">
        <v>4347</v>
      </c>
      <c r="D104" t="str">
        <f t="shared" si="3"/>
        <v>Bevan HouseCSU</v>
      </c>
      <c r="E104" s="24">
        <v>0.43198663014868627</v>
      </c>
      <c r="F104" s="35" t="s">
        <v>4357</v>
      </c>
    </row>
    <row r="105" spans="1:6" hidden="1" x14ac:dyDescent="0.25">
      <c r="A105" s="8">
        <v>3959</v>
      </c>
      <c r="B105" s="35" t="str">
        <f>VLOOKUP(A105,'Properties List'!$A$2:$C$299,3,FALSE)</f>
        <v>Stephenson House</v>
      </c>
      <c r="C105" t="s">
        <v>4347</v>
      </c>
      <c r="D105" t="str">
        <f t="shared" si="3"/>
        <v>Stephenson HouseCSU</v>
      </c>
      <c r="E105" s="24">
        <v>0.22991409321853706</v>
      </c>
      <c r="F105" s="35" t="s">
        <v>4369</v>
      </c>
    </row>
    <row r="106" spans="1:6" hidden="1" x14ac:dyDescent="0.25">
      <c r="A106" s="68">
        <v>3977</v>
      </c>
      <c r="B106" s="35" t="str">
        <f>VLOOKUP(A106,'Properties List'!$A$2:$C$299,3,FALSE)</f>
        <v>Clifton House</v>
      </c>
      <c r="C106" t="s">
        <v>4347</v>
      </c>
      <c r="D106" t="str">
        <f t="shared" si="3"/>
        <v>Clifton HouseCSU</v>
      </c>
      <c r="E106" s="24">
        <v>1</v>
      </c>
      <c r="F106" s="35" t="s">
        <v>4369</v>
      </c>
    </row>
    <row r="107" spans="1:6" hidden="1" x14ac:dyDescent="0.25">
      <c r="A107" s="8">
        <v>4058</v>
      </c>
      <c r="B107" s="35" t="str">
        <f>VLOOKUP(A107,'Properties List'!$A$2:$C$299,3,FALSE)</f>
        <v>Becketts House</v>
      </c>
      <c r="C107" t="s">
        <v>4347</v>
      </c>
      <c r="D107" t="str">
        <f t="shared" si="3"/>
        <v>Becketts HouseCSU</v>
      </c>
      <c r="E107" s="24">
        <v>0.26496452543042076</v>
      </c>
      <c r="F107" s="35" t="s">
        <v>4369</v>
      </c>
    </row>
    <row r="108" spans="1:6" hidden="1" x14ac:dyDescent="0.25">
      <c r="A108" s="8">
        <v>4338</v>
      </c>
      <c r="B108" s="35" t="str">
        <f>VLOOKUP(A108,'Properties List'!$A$2:$C$299,3,FALSE)</f>
        <v>Health House</v>
      </c>
      <c r="C108" t="s">
        <v>4347</v>
      </c>
      <c r="D108" t="str">
        <f t="shared" si="3"/>
        <v>Health HouseCSU</v>
      </c>
      <c r="E108" s="24">
        <v>0.42613981762917924</v>
      </c>
      <c r="F108" s="35" t="s">
        <v>4370</v>
      </c>
    </row>
    <row r="109" spans="1:6" hidden="1" x14ac:dyDescent="0.25">
      <c r="A109" s="8">
        <v>4397</v>
      </c>
      <c r="B109" s="35" t="str">
        <f>VLOOKUP(A109,'Properties List'!$A$2:$C$299,3,FALSE)</f>
        <v>Health Place</v>
      </c>
      <c r="C109" t="s">
        <v>4347</v>
      </c>
      <c r="D109" t="str">
        <f t="shared" si="3"/>
        <v>Health PlaceCSU</v>
      </c>
      <c r="E109" s="24">
        <v>0.6773961884747095</v>
      </c>
      <c r="F109" s="35" t="s">
        <v>4371</v>
      </c>
    </row>
    <row r="110" spans="1:6" hidden="1" x14ac:dyDescent="0.25">
      <c r="A110" s="8">
        <v>4487</v>
      </c>
      <c r="B110" s="35" t="str">
        <f>VLOOKUP(A110,'Properties List'!$A$2:$C$299,3,FALSE)</f>
        <v>Anglesey House</v>
      </c>
      <c r="C110" t="s">
        <v>4347</v>
      </c>
      <c r="D110" t="str">
        <f t="shared" si="3"/>
        <v>Anglesey HouseCSU</v>
      </c>
      <c r="E110" s="24">
        <v>0.43100347350934276</v>
      </c>
      <c r="F110" s="35" t="s">
        <v>4372</v>
      </c>
    </row>
    <row r="111" spans="1:6" hidden="1" x14ac:dyDescent="0.25">
      <c r="A111" s="68">
        <v>4585</v>
      </c>
      <c r="B111" s="35" t="str">
        <f>VLOOKUP(A111,'Properties List'!$A$2:$C$299,3,FALSE)</f>
        <v>Heron House</v>
      </c>
      <c r="C111" t="s">
        <v>4347</v>
      </c>
      <c r="D111" t="str">
        <f t="shared" si="3"/>
        <v>Heron HouseCSU</v>
      </c>
      <c r="E111" s="24">
        <v>0.75458553350815627</v>
      </c>
      <c r="F111" s="35" t="s">
        <v>4373</v>
      </c>
    </row>
    <row r="112" spans="1:6" hidden="1" x14ac:dyDescent="0.25">
      <c r="A112" s="8">
        <v>4752</v>
      </c>
      <c r="B112" s="35" t="str">
        <f>VLOOKUP(A112,'Properties List'!$A$2:$C$299,3,FALSE)</f>
        <v>Lower Marsh</v>
      </c>
      <c r="C112" t="s">
        <v>4347</v>
      </c>
      <c r="D112" t="str">
        <f t="shared" si="3"/>
        <v>Lower MarshCSU</v>
      </c>
      <c r="E112" s="24">
        <v>0.66824602965692725</v>
      </c>
      <c r="F112" s="35" t="s">
        <v>4374</v>
      </c>
    </row>
    <row r="113" spans="1:6" hidden="1" x14ac:dyDescent="0.25">
      <c r="A113" s="11">
        <v>4801</v>
      </c>
      <c r="B113" s="35" t="str">
        <f>VLOOKUP(A113,'Properties List'!$A$2:$C$299,3,FALSE)</f>
        <v>The Broadway</v>
      </c>
      <c r="C113" t="s">
        <v>4347</v>
      </c>
      <c r="D113" t="str">
        <f t="shared" si="3"/>
        <v>The BroadwayCSU</v>
      </c>
      <c r="E113" s="24">
        <v>0.40029999999999999</v>
      </c>
      <c r="F113" s="35" t="s">
        <v>4374</v>
      </c>
    </row>
    <row r="114" spans="1:6" hidden="1" x14ac:dyDescent="0.25">
      <c r="A114" s="68">
        <v>4966</v>
      </c>
      <c r="B114" s="35" t="str">
        <f>VLOOKUP(A114,'Properties List'!$A$2:$C$299,3,FALSE)</f>
        <v>White Rose House (Doncaster)</v>
      </c>
      <c r="C114" t="s">
        <v>4347</v>
      </c>
      <c r="D114" t="str">
        <f t="shared" si="3"/>
        <v>White Rose House (Doncaster)CSU</v>
      </c>
      <c r="E114" s="24">
        <v>0.41934792700782059</v>
      </c>
      <c r="F114" s="35" t="s">
        <v>4375</v>
      </c>
    </row>
    <row r="115" spans="1:6" hidden="1" x14ac:dyDescent="0.25">
      <c r="A115" s="8">
        <v>4991</v>
      </c>
      <c r="B115" s="35" t="str">
        <f>VLOOKUP(A115,'Properties List'!$A$2:$C$299,3,FALSE)</f>
        <v>Prince of Wales Road</v>
      </c>
      <c r="C115" t="s">
        <v>4347</v>
      </c>
      <c r="D115" t="str">
        <f t="shared" si="3"/>
        <v>Prince of Wales RoadCSU</v>
      </c>
      <c r="E115" s="24">
        <v>0.48607976138378972</v>
      </c>
      <c r="F115" s="35" t="s">
        <v>4376</v>
      </c>
    </row>
    <row r="116" spans="1:6" x14ac:dyDescent="0.25">
      <c r="A116" s="8">
        <v>5135</v>
      </c>
      <c r="B116" s="35" t="str">
        <f>VLOOKUP(A116,'Properties List'!$A$2:$C$299,3,FALSE)</f>
        <v>Friars Walk</v>
      </c>
      <c r="C116" t="s">
        <v>4347</v>
      </c>
      <c r="D116" t="str">
        <f t="shared" si="3"/>
        <v>Friars WalkCSU</v>
      </c>
      <c r="E116" s="24" t="s">
        <v>4411</v>
      </c>
      <c r="F116" s="35" t="s">
        <v>4377</v>
      </c>
    </row>
    <row r="117" spans="1:6" x14ac:dyDescent="0.25">
      <c r="A117" s="68">
        <v>5135</v>
      </c>
      <c r="B117" s="35" t="str">
        <f>VLOOKUP(A117,'Properties List'!$A$2:$C$299,3,FALSE)</f>
        <v>Friars Walk</v>
      </c>
      <c r="C117" t="s">
        <v>4347</v>
      </c>
      <c r="D117" t="str">
        <f t="shared" si="3"/>
        <v>Friars WalkCSU</v>
      </c>
      <c r="E117" s="24" t="s">
        <v>4411</v>
      </c>
      <c r="F117" s="35" t="s">
        <v>4378</v>
      </c>
    </row>
    <row r="118" spans="1:6" x14ac:dyDescent="0.25">
      <c r="A118" s="68">
        <v>5135</v>
      </c>
      <c r="B118" s="35" t="str">
        <f>VLOOKUP(A118,'Properties List'!$A$2:$C$299,3,FALSE)</f>
        <v>Friars Walk</v>
      </c>
      <c r="C118" t="s">
        <v>4347</v>
      </c>
      <c r="D118" t="str">
        <f t="shared" si="3"/>
        <v>Friars WalkCSU</v>
      </c>
      <c r="E118" s="24" t="s">
        <v>4411</v>
      </c>
      <c r="F118" s="35" t="s">
        <v>4374</v>
      </c>
    </row>
    <row r="119" spans="1:6" hidden="1" x14ac:dyDescent="0.25">
      <c r="A119" s="68">
        <v>5237</v>
      </c>
      <c r="B119" s="35" t="str">
        <f>VLOOKUP(A119,'Properties List'!$A$2:$C$299,3,FALSE)</f>
        <v>The Causeway</v>
      </c>
      <c r="C119" t="s">
        <v>4347</v>
      </c>
      <c r="D119" t="str">
        <f t="shared" si="3"/>
        <v>The CausewayCSU</v>
      </c>
      <c r="E119" s="24">
        <v>5.9310992606956735E-2</v>
      </c>
      <c r="F119" s="35" t="s">
        <v>4379</v>
      </c>
    </row>
    <row r="120" spans="1:6" hidden="1" x14ac:dyDescent="0.25">
      <c r="A120" s="8">
        <v>5237</v>
      </c>
      <c r="B120" s="35" t="str">
        <f>VLOOKUP(A120,'Properties List'!$A$2:$C$299,3,FALSE)</f>
        <v>The Causeway</v>
      </c>
      <c r="C120" t="s">
        <v>4347</v>
      </c>
      <c r="D120" t="str">
        <f t="shared" si="3"/>
        <v>The CausewayCSU</v>
      </c>
      <c r="E120" s="24">
        <v>0.20095796469114854</v>
      </c>
      <c r="F120" s="35" t="s">
        <v>4386</v>
      </c>
    </row>
    <row r="121" spans="1:6" x14ac:dyDescent="0.25">
      <c r="A121" s="68">
        <v>5241</v>
      </c>
      <c r="B121" s="35" t="str">
        <f>VLOOKUP(A121,'Properties List'!$A$2:$C$299,3,FALSE)</f>
        <v>Crawley Hospital</v>
      </c>
      <c r="C121" t="s">
        <v>4347</v>
      </c>
      <c r="D121" t="str">
        <f t="shared" si="3"/>
        <v>Crawley HospitalCSU</v>
      </c>
      <c r="E121" s="24" t="s">
        <v>4411</v>
      </c>
      <c r="F121" s="35" t="s">
        <v>4380</v>
      </c>
    </row>
    <row r="122" spans="1:6" hidden="1" x14ac:dyDescent="0.25">
      <c r="A122" s="8">
        <v>5282</v>
      </c>
      <c r="B122" s="35" t="str">
        <f>VLOOKUP(A122,'Properties List'!$A$2:$C$299,3,FALSE)</f>
        <v>Bath Road</v>
      </c>
      <c r="C122" t="s">
        <v>4347</v>
      </c>
      <c r="D122" t="str">
        <f t="shared" si="3"/>
        <v>Bath RoadCSU</v>
      </c>
      <c r="E122" s="24">
        <v>0.34319664105415143</v>
      </c>
      <c r="F122" s="35" t="s">
        <v>4381</v>
      </c>
    </row>
    <row r="123" spans="1:6" hidden="1" x14ac:dyDescent="0.25">
      <c r="A123" s="68">
        <v>5350</v>
      </c>
      <c r="B123" s="35" t="str">
        <f>VLOOKUP(A123,'Properties List'!$A$2:$C$299,3,FALSE)</f>
        <v>King Edward VII Hospital</v>
      </c>
      <c r="C123" t="s">
        <v>4347</v>
      </c>
      <c r="D123" t="str">
        <f t="shared" si="3"/>
        <v>King Edward VII HospitalCSU</v>
      </c>
      <c r="E123" s="24">
        <v>2.7232678785800039E-2</v>
      </c>
      <c r="F123" s="35" t="s">
        <v>4381</v>
      </c>
    </row>
    <row r="124" spans="1:6" hidden="1" x14ac:dyDescent="0.25">
      <c r="A124" s="68">
        <v>5385</v>
      </c>
      <c r="B124" s="35" t="str">
        <f>VLOOKUP(A124,'Properties List'!$A$2:$C$299,3,FALSE)</f>
        <v>Jubilee House (South)</v>
      </c>
      <c r="C124" t="s">
        <v>4347</v>
      </c>
      <c r="D124" t="str">
        <f t="shared" si="3"/>
        <v>Jubilee House (South)CSU</v>
      </c>
      <c r="E124" s="24">
        <v>0.15455265241488519</v>
      </c>
      <c r="F124" s="35" t="s">
        <v>4381</v>
      </c>
    </row>
    <row r="125" spans="1:6" x14ac:dyDescent="0.25">
      <c r="A125" s="68">
        <v>5579</v>
      </c>
      <c r="B125" s="35" t="str">
        <f>VLOOKUP(A125,'Properties List'!$A$2:$C$299,3,FALSE)</f>
        <v>Aldershot CfH</v>
      </c>
      <c r="C125" t="s">
        <v>4347</v>
      </c>
      <c r="D125" t="str">
        <f t="shared" si="3"/>
        <v>Aldershot CfHCSU</v>
      </c>
      <c r="E125" s="24" t="s">
        <v>4411</v>
      </c>
      <c r="F125" s="35" t="s">
        <v>4382</v>
      </c>
    </row>
    <row r="126" spans="1:6" hidden="1" x14ac:dyDescent="0.25">
      <c r="A126" s="8">
        <v>5608</v>
      </c>
      <c r="B126" s="35" t="str">
        <f>VLOOKUP(A126,'Properties List'!$A$2:$C$299,3,FALSE)</f>
        <v>Omega House</v>
      </c>
      <c r="C126" t="s">
        <v>4347</v>
      </c>
      <c r="D126" t="str">
        <f t="shared" si="3"/>
        <v>Omega HouseCSU</v>
      </c>
      <c r="E126" s="24">
        <v>0.51912512166107916</v>
      </c>
      <c r="F126" s="35" t="s">
        <v>4383</v>
      </c>
    </row>
    <row r="127" spans="1:6" hidden="1" x14ac:dyDescent="0.25">
      <c r="A127" s="68">
        <v>5669</v>
      </c>
      <c r="B127" s="35" t="str">
        <f>VLOOKUP(A127,'Properties List'!$A$2:$C$299,3,FALSE)</f>
        <v>Douglas Mill (4th Floor)</v>
      </c>
      <c r="C127" t="s">
        <v>4347</v>
      </c>
      <c r="D127" t="str">
        <f t="shared" si="3"/>
        <v>Douglas Mill (4th Floor)CSU</v>
      </c>
      <c r="E127" s="24">
        <v>0.48314907139110547</v>
      </c>
      <c r="F127" s="35" t="s">
        <v>4384</v>
      </c>
    </row>
    <row r="128" spans="1:6" hidden="1" x14ac:dyDescent="0.25">
      <c r="A128" s="68">
        <v>5670</v>
      </c>
      <c r="B128" s="35" t="str">
        <f>VLOOKUP(A128,'Properties List'!$A$2:$C$299,3,FALSE)</f>
        <v>Douglas Mill (Ground Floor, Basement and Tower Room)</v>
      </c>
      <c r="C128" t="s">
        <v>4347</v>
      </c>
      <c r="D128" t="str">
        <f t="shared" si="3"/>
        <v>Douglas Mill (Ground Floor, Basement and Tower Room)CSU</v>
      </c>
      <c r="E128" s="24">
        <v>0.48314907139110547</v>
      </c>
      <c r="F128" s="35" t="s">
        <v>4384</v>
      </c>
    </row>
    <row r="129" spans="1:6" hidden="1" x14ac:dyDescent="0.25">
      <c r="A129" s="68">
        <v>5672</v>
      </c>
      <c r="B129" s="35" t="str">
        <f>VLOOKUP(A129,'Properties List'!$A$2:$C$299,3,FALSE)</f>
        <v>Douglas Mill (3rd Floor)</v>
      </c>
      <c r="C129" t="s">
        <v>4347</v>
      </c>
      <c r="D129" t="str">
        <f t="shared" si="3"/>
        <v>Douglas Mill (3rd Floor)CSU</v>
      </c>
      <c r="E129" s="24">
        <v>0.48314907139110547</v>
      </c>
      <c r="F129" s="35" t="s">
        <v>4376</v>
      </c>
    </row>
    <row r="130" spans="1:6" hidden="1" x14ac:dyDescent="0.25">
      <c r="A130" s="8">
        <v>5806</v>
      </c>
      <c r="B130" s="35" t="str">
        <f>VLOOKUP(A130,'Properties List'!$A$2:$C$299,3,FALSE)</f>
        <v>Broad Lea House</v>
      </c>
      <c r="C130" t="s">
        <v>4347</v>
      </c>
      <c r="D130" t="str">
        <f t="shared" ref="D130:D161" si="4">B130&amp;C130</f>
        <v>Broad Lea HouseCSU</v>
      </c>
      <c r="E130" s="24">
        <v>0.35503613407334117</v>
      </c>
      <c r="F130" s="35" t="s">
        <v>4376</v>
      </c>
    </row>
    <row r="131" spans="1:6" hidden="1" x14ac:dyDescent="0.25">
      <c r="A131" s="68">
        <v>5895</v>
      </c>
      <c r="B131" s="35" t="str">
        <f>VLOOKUP(A131,'Properties List'!$A$2:$C$299,3,FALSE)</f>
        <v>Victoria House East Wing</v>
      </c>
      <c r="C131" t="s">
        <v>4347</v>
      </c>
      <c r="D131" t="str">
        <f t="shared" si="4"/>
        <v>Victoria House East WingCSU</v>
      </c>
      <c r="E131" s="24">
        <v>4.6618252114928961E-2</v>
      </c>
      <c r="F131" s="35" t="s">
        <v>4385</v>
      </c>
    </row>
    <row r="132" spans="1:6" hidden="1" x14ac:dyDescent="0.25">
      <c r="A132" s="8">
        <v>5919</v>
      </c>
      <c r="B132" s="35" t="str">
        <f>VLOOKUP(A132,'Properties List'!$A$2:$C$299,3,FALSE)</f>
        <v>Rivergate House</v>
      </c>
      <c r="C132" t="s">
        <v>4347</v>
      </c>
      <c r="D132" t="str">
        <f t="shared" si="4"/>
        <v>Rivergate HouseCSU</v>
      </c>
      <c r="E132" s="24">
        <v>0.43298069262852046</v>
      </c>
      <c r="F132" s="35" t="s">
        <v>4353</v>
      </c>
    </row>
    <row r="133" spans="1:6" hidden="1" x14ac:dyDescent="0.25">
      <c r="A133" s="8">
        <v>5966</v>
      </c>
      <c r="B133" s="35" t="str">
        <f>VLOOKUP(A133,'Properties List'!$A$2:$C$299,3,FALSE)</f>
        <v>Corum Park</v>
      </c>
      <c r="C133" t="s">
        <v>4347</v>
      </c>
      <c r="D133" t="str">
        <f t="shared" si="4"/>
        <v>Corum ParkCSU</v>
      </c>
      <c r="E133" s="24">
        <v>0.20760078138874088</v>
      </c>
      <c r="F133" s="35" t="s">
        <v>4355</v>
      </c>
    </row>
    <row r="134" spans="1:6" hidden="1" x14ac:dyDescent="0.25">
      <c r="A134" s="68">
        <v>5967</v>
      </c>
      <c r="B134" s="35" t="str">
        <f>VLOOKUP(A134,'Properties List'!$A$2:$C$299,3,FALSE)</f>
        <v>Triune Court</v>
      </c>
      <c r="C134" t="s">
        <v>4347</v>
      </c>
      <c r="D134" t="str">
        <f t="shared" si="4"/>
        <v>Triune CourtCSU</v>
      </c>
      <c r="E134" s="24">
        <v>1</v>
      </c>
      <c r="F134" s="35" t="s">
        <v>4370</v>
      </c>
    </row>
    <row r="135" spans="1:6" hidden="1" x14ac:dyDescent="0.25">
      <c r="A135" s="68">
        <v>6027</v>
      </c>
      <c r="B135" s="35" t="str">
        <f>VLOOKUP(A135,'Properties List'!$A$2:$C$299,3,FALSE)</f>
        <v>RIVERSIDE HOUSE - 2ND FLOOR</v>
      </c>
      <c r="C135" t="s">
        <v>4347</v>
      </c>
      <c r="D135" t="str">
        <f t="shared" si="4"/>
        <v>RIVERSIDE HOUSE - 2ND FLOORCSU</v>
      </c>
      <c r="E135" s="24">
        <v>0.91518712064656438</v>
      </c>
      <c r="F135" s="35" t="s">
        <v>4358</v>
      </c>
    </row>
    <row r="136" spans="1:6" hidden="1" x14ac:dyDescent="0.25">
      <c r="A136" s="8">
        <v>190</v>
      </c>
      <c r="B136" s="35" t="str">
        <f>VLOOKUP(A136,'Properties List'!$A$2:$C$299,3,FALSE)</f>
        <v>William Farr House</v>
      </c>
      <c r="C136" t="s">
        <v>4402</v>
      </c>
      <c r="D136" t="str">
        <f t="shared" si="4"/>
        <v>William Farr HousePCSS</v>
      </c>
      <c r="E136" s="24">
        <v>0.127101663</v>
      </c>
      <c r="F136" s="35" t="s">
        <v>4403</v>
      </c>
    </row>
    <row r="137" spans="1:6" hidden="1" x14ac:dyDescent="0.25">
      <c r="A137" s="68">
        <v>758</v>
      </c>
      <c r="B137" s="35" t="str">
        <f>VLOOKUP(A137,'Properties List'!$A$2:$C$299,3,FALSE)</f>
        <v>Jubilee House (West Midlands)</v>
      </c>
      <c r="C137" t="s">
        <v>4402</v>
      </c>
      <c r="D137" t="str">
        <f t="shared" si="4"/>
        <v>Jubilee House (West Midlands)PCSS</v>
      </c>
      <c r="E137" s="24">
        <v>0.34306564735144279</v>
      </c>
      <c r="F137" s="35" t="s">
        <v>4403</v>
      </c>
    </row>
    <row r="138" spans="1:6" hidden="1" x14ac:dyDescent="0.25">
      <c r="A138" s="8">
        <v>843</v>
      </c>
      <c r="B138" s="35" t="str">
        <f>VLOOKUP(A138,'Properties List'!$A$2:$C$299,3,FALSE)</f>
        <v>Mallard Court Express Park</v>
      </c>
      <c r="C138" t="s">
        <v>4402</v>
      </c>
      <c r="D138" t="str">
        <f t="shared" si="4"/>
        <v>Mallard Court Express ParkPCSS</v>
      </c>
      <c r="E138" s="24" t="s">
        <v>4387</v>
      </c>
      <c r="F138" s="35" t="s">
        <v>4403</v>
      </c>
    </row>
    <row r="139" spans="1:6" hidden="1" x14ac:dyDescent="0.25">
      <c r="A139" s="8">
        <v>881</v>
      </c>
      <c r="B139" s="35" t="str">
        <f>VLOOKUP(A139,'Properties List'!$A$2:$C$299,3,FALSE)</f>
        <v>South Plaza (Lower Ground, First, Fourth, Fifth &amp; Sixth Floors)</v>
      </c>
      <c r="C139" t="s">
        <v>4402</v>
      </c>
      <c r="D139" t="str">
        <f t="shared" si="4"/>
        <v>South Plaza (Lower Ground, First, Fourth, Fifth &amp; Sixth Floors)PCSS</v>
      </c>
      <c r="E139" s="24">
        <v>0.12729334859311039</v>
      </c>
      <c r="F139" s="35" t="s">
        <v>4403</v>
      </c>
    </row>
    <row r="140" spans="1:6" hidden="1" x14ac:dyDescent="0.25">
      <c r="A140" s="68">
        <v>1046</v>
      </c>
      <c r="B140" s="35" t="str">
        <f>VLOOKUP(A140,'Properties List'!$A$2:$C$299,3,FALSE)</f>
        <v>1829 Building</v>
      </c>
      <c r="C140" t="s">
        <v>4402</v>
      </c>
      <c r="D140" t="str">
        <f t="shared" si="4"/>
        <v>1829 BuildingPCSS</v>
      </c>
      <c r="E140" s="24">
        <v>0.14630796559634301</v>
      </c>
      <c r="F140" s="35" t="s">
        <v>4403</v>
      </c>
    </row>
    <row r="141" spans="1:6" hidden="1" x14ac:dyDescent="0.25">
      <c r="A141" s="68">
        <v>1102</v>
      </c>
      <c r="B141" s="35" t="str">
        <f>VLOOKUP(A141,'Properties List'!$A$2:$C$299,3,FALSE)</f>
        <v>Partnership House</v>
      </c>
      <c r="C141" t="s">
        <v>4402</v>
      </c>
      <c r="D141" t="str">
        <f t="shared" si="4"/>
        <v>Partnership HousePCSS</v>
      </c>
      <c r="E141" s="24">
        <v>1</v>
      </c>
      <c r="F141" s="35" t="s">
        <v>4403</v>
      </c>
    </row>
    <row r="142" spans="1:6" hidden="1" x14ac:dyDescent="0.25">
      <c r="A142" s="68">
        <v>1109</v>
      </c>
      <c r="B142" s="35" t="str">
        <f>VLOOKUP(A142,'Properties List'!$A$2:$C$299,3,FALSE)</f>
        <v>4 Wavell Drive</v>
      </c>
      <c r="C142" t="s">
        <v>4402</v>
      </c>
      <c r="D142" t="str">
        <f t="shared" si="4"/>
        <v>4 Wavell DrivePCSS</v>
      </c>
      <c r="E142" s="24">
        <v>0.10341954138388018</v>
      </c>
      <c r="F142" s="35" t="s">
        <v>4403</v>
      </c>
    </row>
    <row r="143" spans="1:6" hidden="1" x14ac:dyDescent="0.25">
      <c r="A143" s="68">
        <v>1294</v>
      </c>
      <c r="B143" s="35" t="str">
        <f>VLOOKUP(A143,'Properties List'!$A$2:$C$299,3,FALSE)</f>
        <v>The Old Telephone Exchange</v>
      </c>
      <c r="C143" t="s">
        <v>4402</v>
      </c>
      <c r="D143" t="str">
        <f t="shared" si="4"/>
        <v>The Old Telephone ExchangePCSS</v>
      </c>
      <c r="E143" s="24">
        <v>0.60420124815029264</v>
      </c>
      <c r="F143" s="35" t="s">
        <v>4403</v>
      </c>
    </row>
    <row r="144" spans="1:6" hidden="1" x14ac:dyDescent="0.25">
      <c r="A144" s="8">
        <v>2570</v>
      </c>
      <c r="B144" s="35" t="str">
        <f>VLOOKUP(A144,'Properties List'!$A$2:$C$299,3,FALSE)</f>
        <v>City Works Business Park</v>
      </c>
      <c r="C144" t="s">
        <v>4402</v>
      </c>
      <c r="D144" t="str">
        <f t="shared" si="4"/>
        <v>City Works Business ParkPCSS</v>
      </c>
      <c r="E144" s="24">
        <v>1</v>
      </c>
      <c r="F144" s="35" t="s">
        <v>4403</v>
      </c>
    </row>
    <row r="145" spans="1:6" x14ac:dyDescent="0.25">
      <c r="A145" s="68">
        <v>2643</v>
      </c>
      <c r="B145" s="35" t="str">
        <f>VLOOKUP(A145,'Properties List'!$A$2:$C$299,3,FALSE)</f>
        <v>Ordsall Health Centre</v>
      </c>
      <c r="C145" t="s">
        <v>4402</v>
      </c>
      <c r="D145" t="str">
        <f t="shared" si="4"/>
        <v>Ordsall Health CentrePCSS</v>
      </c>
      <c r="E145" s="24" t="s">
        <v>4411</v>
      </c>
      <c r="F145" s="35" t="s">
        <v>4403</v>
      </c>
    </row>
    <row r="146" spans="1:6" hidden="1" x14ac:dyDescent="0.25">
      <c r="A146" s="68">
        <v>2711</v>
      </c>
      <c r="B146" s="35" t="str">
        <f>VLOOKUP(A146,'Properties List'!$A$2:$C$299,3,FALSE)</f>
        <v>Millennium House</v>
      </c>
      <c r="C146" t="s">
        <v>4402</v>
      </c>
      <c r="D146" t="str">
        <f t="shared" si="4"/>
        <v>Millennium HousePCSS</v>
      </c>
      <c r="E146" s="24">
        <v>0.17724634427911751</v>
      </c>
      <c r="F146" s="35" t="s">
        <v>4403</v>
      </c>
    </row>
    <row r="147" spans="1:6" x14ac:dyDescent="0.25">
      <c r="A147" s="8">
        <v>2733</v>
      </c>
      <c r="B147" s="35" t="str">
        <f>VLOOKUP(A147,'Properties List'!$A$2:$C$299,3,FALSE)</f>
        <v>Oakland House 2nd Floor</v>
      </c>
      <c r="C147" t="s">
        <v>4402</v>
      </c>
      <c r="D147" t="str">
        <f t="shared" si="4"/>
        <v>Oakland House 2nd FloorPCSS</v>
      </c>
      <c r="E147" s="24" t="s">
        <v>4411</v>
      </c>
      <c r="F147" s="35" t="s">
        <v>4403</v>
      </c>
    </row>
    <row r="148" spans="1:6" hidden="1" x14ac:dyDescent="0.25">
      <c r="A148" s="8">
        <v>2933</v>
      </c>
      <c r="B148" s="35" t="str">
        <f>VLOOKUP(A148,'Properties List'!$A$2:$C$299,3,FALSE)</f>
        <v>Charter House</v>
      </c>
      <c r="C148" t="s">
        <v>4402</v>
      </c>
      <c r="D148" t="str">
        <f t="shared" si="4"/>
        <v>Charter HousePCSS</v>
      </c>
      <c r="E148" s="24">
        <v>0.19985040342028465</v>
      </c>
      <c r="F148" s="35" t="s">
        <v>4403</v>
      </c>
    </row>
    <row r="149" spans="1:6" hidden="1" x14ac:dyDescent="0.25">
      <c r="A149" s="68">
        <v>3152</v>
      </c>
      <c r="B149" s="35" t="str">
        <f>VLOOKUP(A149,'Properties List'!$A$2:$C$299,3,FALSE)</f>
        <v>Faith House</v>
      </c>
      <c r="C149" t="s">
        <v>4402</v>
      </c>
      <c r="D149" t="str">
        <f t="shared" si="4"/>
        <v>Faith HousePCSS</v>
      </c>
      <c r="E149" s="24">
        <v>1</v>
      </c>
      <c r="F149" s="35" t="s">
        <v>4403</v>
      </c>
    </row>
    <row r="150" spans="1:6" hidden="1" x14ac:dyDescent="0.25">
      <c r="A150" s="8">
        <v>3172</v>
      </c>
      <c r="B150" s="35" t="str">
        <f>VLOOKUP(A150,'Properties List'!$A$2:$C$299,3,FALSE)</f>
        <v>Palace Industrial Estate</v>
      </c>
      <c r="C150" t="s">
        <v>4402</v>
      </c>
      <c r="D150" t="str">
        <f t="shared" si="4"/>
        <v>Palace Industrial EstatePCSS</v>
      </c>
      <c r="E150" s="24">
        <v>1</v>
      </c>
      <c r="F150" s="35" t="s">
        <v>4403</v>
      </c>
    </row>
    <row r="151" spans="1:6" hidden="1" x14ac:dyDescent="0.25">
      <c r="A151" s="8">
        <v>3318</v>
      </c>
      <c r="B151" s="35" t="str">
        <f>VLOOKUP(A151,'Properties List'!$A$2:$C$299,3,FALSE)</f>
        <v>Astra Business Centre (Unit 7)</v>
      </c>
      <c r="C151" t="s">
        <v>4402</v>
      </c>
      <c r="D151" t="str">
        <f t="shared" si="4"/>
        <v>Astra Business Centre (Unit 7)PCSS</v>
      </c>
      <c r="E151" s="24">
        <v>1</v>
      </c>
      <c r="F151" s="35" t="s">
        <v>4403</v>
      </c>
    </row>
    <row r="152" spans="1:6" hidden="1" x14ac:dyDescent="0.25">
      <c r="A152" s="8">
        <v>3334</v>
      </c>
      <c r="B152" s="35" t="str">
        <f>VLOOKUP(A152,'Properties List'!$A$2:$C$299,3,FALSE)</f>
        <v>LASCA</v>
      </c>
      <c r="C152" t="s">
        <v>4402</v>
      </c>
      <c r="D152" t="str">
        <f t="shared" si="4"/>
        <v>LASCAPCSS</v>
      </c>
      <c r="E152" s="24">
        <v>1</v>
      </c>
      <c r="F152" s="35" t="s">
        <v>4403</v>
      </c>
    </row>
    <row r="153" spans="1:6" hidden="1" x14ac:dyDescent="0.25">
      <c r="A153" s="8">
        <v>3720</v>
      </c>
      <c r="B153" s="35" t="str">
        <f>VLOOKUP(A153,'Properties List'!$A$2:$C$299,3,FALSE)</f>
        <v>Bevan House</v>
      </c>
      <c r="C153" t="s">
        <v>4402</v>
      </c>
      <c r="D153" t="str">
        <f t="shared" si="4"/>
        <v>Bevan HousePCSS</v>
      </c>
      <c r="E153" s="24">
        <v>0.25591192980006816</v>
      </c>
      <c r="F153" s="35" t="s">
        <v>4403</v>
      </c>
    </row>
    <row r="154" spans="1:6" hidden="1" x14ac:dyDescent="0.25">
      <c r="A154" s="8">
        <v>3959</v>
      </c>
      <c r="B154" s="35" t="str">
        <f>VLOOKUP(A154,'Properties List'!$A$2:$C$299,3,FALSE)</f>
        <v>Stephenson House</v>
      </c>
      <c r="C154" t="s">
        <v>4402</v>
      </c>
      <c r="D154" t="str">
        <f t="shared" si="4"/>
        <v>Stephenson HousePCSS</v>
      </c>
      <c r="E154" s="24" t="s">
        <v>4387</v>
      </c>
      <c r="F154" s="35" t="s">
        <v>4403</v>
      </c>
    </row>
    <row r="155" spans="1:6" hidden="1" x14ac:dyDescent="0.25">
      <c r="A155" s="68">
        <v>4219</v>
      </c>
      <c r="B155" s="35" t="str">
        <f>VLOOKUP(A155,'Properties List'!$A$2:$C$299,3,FALSE)</f>
        <v>Hillingdon HQ</v>
      </c>
      <c r="C155" t="s">
        <v>4402</v>
      </c>
      <c r="D155" t="str">
        <f t="shared" si="4"/>
        <v>Hillingdon HQPCSS</v>
      </c>
      <c r="E155" s="24">
        <v>0.39188761243809594</v>
      </c>
      <c r="F155" s="35" t="s">
        <v>4403</v>
      </c>
    </row>
    <row r="156" spans="1:6" hidden="1" x14ac:dyDescent="0.25">
      <c r="A156" s="68">
        <v>4267</v>
      </c>
      <c r="B156" s="35" t="str">
        <f>VLOOKUP(A156,'Properties List'!$A$2:$C$299,3,FALSE)</f>
        <v>Ferguson House</v>
      </c>
      <c r="C156" t="s">
        <v>4402</v>
      </c>
      <c r="D156" t="str">
        <f t="shared" si="4"/>
        <v>Ferguson HousePCSS</v>
      </c>
      <c r="E156" s="24">
        <v>6.9000000000000006E-2</v>
      </c>
      <c r="F156" s="35" t="s">
        <v>4403</v>
      </c>
    </row>
    <row r="157" spans="1:6" hidden="1" x14ac:dyDescent="0.25">
      <c r="A157" s="8">
        <v>4309</v>
      </c>
      <c r="B157" s="35" t="str">
        <f>VLOOKUP(A157,'Properties List'!$A$2:$C$299,3,FALSE)</f>
        <v>Alpha Court</v>
      </c>
      <c r="C157" t="s">
        <v>4402</v>
      </c>
      <c r="D157" t="str">
        <f t="shared" si="4"/>
        <v>Alpha CourtPCSS</v>
      </c>
      <c r="E157" s="24">
        <v>0.16461084506360954</v>
      </c>
      <c r="F157" s="35" t="s">
        <v>4403</v>
      </c>
    </row>
    <row r="158" spans="1:6" hidden="1" x14ac:dyDescent="0.25">
      <c r="A158" s="68">
        <v>4338</v>
      </c>
      <c r="B158" s="35" t="str">
        <f>VLOOKUP(A158,'Properties List'!$A$2:$C$299,3,FALSE)</f>
        <v>Health House</v>
      </c>
      <c r="C158" t="s">
        <v>4402</v>
      </c>
      <c r="D158" t="str">
        <f t="shared" si="4"/>
        <v>Health HousePCSS</v>
      </c>
      <c r="E158" s="24">
        <v>0.15457645037663539</v>
      </c>
      <c r="F158" s="35" t="s">
        <v>4403</v>
      </c>
    </row>
    <row r="159" spans="1:6" hidden="1" x14ac:dyDescent="0.25">
      <c r="A159" s="8">
        <v>4585</v>
      </c>
      <c r="B159" s="35" t="str">
        <f>VLOOKUP(A159,'Properties List'!$A$2:$C$299,3,FALSE)</f>
        <v>Heron House</v>
      </c>
      <c r="C159" t="s">
        <v>4402</v>
      </c>
      <c r="D159" t="str">
        <f t="shared" si="4"/>
        <v>Heron HousePCSS</v>
      </c>
      <c r="E159" s="24">
        <v>0.22441425927646105</v>
      </c>
      <c r="F159" s="35" t="s">
        <v>4403</v>
      </c>
    </row>
    <row r="160" spans="1:6" hidden="1" x14ac:dyDescent="0.25">
      <c r="A160" s="8">
        <v>4770</v>
      </c>
      <c r="B160" s="35" t="str">
        <f>VLOOKUP(A160,'Properties List'!$A$2:$C$299,3,FALSE)</f>
        <v>Cantilever House</v>
      </c>
      <c r="C160" t="s">
        <v>4402</v>
      </c>
      <c r="D160" t="str">
        <f t="shared" si="4"/>
        <v>Cantilever HousePCSS</v>
      </c>
      <c r="E160" s="24">
        <v>0.59330000000000005</v>
      </c>
      <c r="F160" s="35" t="s">
        <v>4403</v>
      </c>
    </row>
    <row r="161" spans="1:6" hidden="1" x14ac:dyDescent="0.25">
      <c r="A161" s="8">
        <v>4966</v>
      </c>
      <c r="B161" s="35" t="str">
        <f>VLOOKUP(A161,'Properties List'!$A$2:$C$299,3,FALSE)</f>
        <v>White Rose House (Doncaster)</v>
      </c>
      <c r="C161" t="s">
        <v>4402</v>
      </c>
      <c r="D161" t="str">
        <f t="shared" si="4"/>
        <v>White Rose House (Doncaster)PCSS</v>
      </c>
      <c r="E161" s="24">
        <v>0.50119630039638607</v>
      </c>
      <c r="F161" s="35" t="s">
        <v>4403</v>
      </c>
    </row>
    <row r="162" spans="1:6" x14ac:dyDescent="0.25">
      <c r="A162" s="8">
        <v>5150</v>
      </c>
      <c r="B162" s="35" t="str">
        <f>VLOOKUP(A162,'Properties List'!$A$2:$C$299,3,FALSE)</f>
        <v>Brooklands House (Ground Floor)</v>
      </c>
      <c r="C162" t="s">
        <v>4402</v>
      </c>
      <c r="D162" t="str">
        <f t="shared" ref="D162:D176" si="5">B162&amp;C162</f>
        <v>Brooklands House (Ground Floor)PCSS</v>
      </c>
      <c r="E162" s="24" t="s">
        <v>4411</v>
      </c>
      <c r="F162" s="35" t="s">
        <v>4403</v>
      </c>
    </row>
    <row r="163" spans="1:6" hidden="1" x14ac:dyDescent="0.25">
      <c r="A163" s="8">
        <v>5151</v>
      </c>
      <c r="B163" s="35" t="str">
        <f>VLOOKUP(A163,'Properties List'!$A$2:$C$299,3,FALSE)</f>
        <v>The PCSS Surbiton Offices</v>
      </c>
      <c r="C163" t="s">
        <v>4402</v>
      </c>
      <c r="D163" t="str">
        <f t="shared" si="5"/>
        <v>The PCSS Surbiton OfficesPCSS</v>
      </c>
      <c r="E163" s="24">
        <v>1</v>
      </c>
      <c r="F163" s="35" t="s">
        <v>4403</v>
      </c>
    </row>
    <row r="164" spans="1:6" hidden="1" x14ac:dyDescent="0.25">
      <c r="A164" s="68">
        <v>5356</v>
      </c>
      <c r="B164" s="35" t="str">
        <f>VLOOKUP(A164,'Properties List'!$A$2:$C$299,3,FALSE)</f>
        <v>Cremyll Road</v>
      </c>
      <c r="C164" t="s">
        <v>4402</v>
      </c>
      <c r="D164" t="str">
        <f t="shared" si="5"/>
        <v>Cremyll RoadPCSS</v>
      </c>
      <c r="E164" s="24">
        <v>1</v>
      </c>
      <c r="F164" s="35" t="s">
        <v>4403</v>
      </c>
    </row>
    <row r="165" spans="1:6" x14ac:dyDescent="0.25">
      <c r="A165" s="68">
        <v>5584</v>
      </c>
      <c r="B165" s="35" t="str">
        <f>VLOOKUP(A165,'Properties List'!$A$2:$C$299,3,FALSE)</f>
        <v>Coitbury House</v>
      </c>
      <c r="C165" t="s">
        <v>4402</v>
      </c>
      <c r="D165" t="str">
        <f t="shared" si="5"/>
        <v>Coitbury HousePCSS</v>
      </c>
      <c r="E165" s="24" t="s">
        <v>4411</v>
      </c>
      <c r="F165" s="35" t="s">
        <v>4403</v>
      </c>
    </row>
    <row r="166" spans="1:6" x14ac:dyDescent="0.25">
      <c r="A166" s="8">
        <v>5611</v>
      </c>
      <c r="B166" s="35" t="str">
        <f>VLOOKUP(A166,'Properties List'!$A$2:$C$299,3,FALSE)</f>
        <v>PPSA - Winnal Store</v>
      </c>
      <c r="C166" t="s">
        <v>4402</v>
      </c>
      <c r="D166" t="str">
        <f t="shared" si="5"/>
        <v>PPSA - Winnal StorePCSS</v>
      </c>
      <c r="E166" s="24" t="s">
        <v>4411</v>
      </c>
      <c r="F166" s="35" t="s">
        <v>4403</v>
      </c>
    </row>
    <row r="167" spans="1:6" hidden="1" x14ac:dyDescent="0.25">
      <c r="A167" s="68">
        <v>5851</v>
      </c>
      <c r="B167" s="35" t="str">
        <f>VLOOKUP(A167,'Properties List'!$A$2:$C$299,3,FALSE)</f>
        <v>Brunswick Court</v>
      </c>
      <c r="C167" t="s">
        <v>4402</v>
      </c>
      <c r="D167" t="str">
        <f t="shared" si="5"/>
        <v>Brunswick CourtPCSS</v>
      </c>
      <c r="E167" s="24">
        <v>1</v>
      </c>
      <c r="F167" s="35" t="s">
        <v>4403</v>
      </c>
    </row>
    <row r="168" spans="1:6" x14ac:dyDescent="0.25">
      <c r="A168" s="8">
        <v>2467</v>
      </c>
      <c r="B168" s="35" t="str">
        <f>VLOOKUP(A168,'Properties List'!$A$2:$C$299,3,FALSE)</f>
        <v>Regent House N33</v>
      </c>
      <c r="C168" t="s">
        <v>4402</v>
      </c>
      <c r="D168" t="str">
        <f t="shared" si="5"/>
        <v>Regent House N33PCSS</v>
      </c>
      <c r="E168" s="24" t="s">
        <v>4411</v>
      </c>
      <c r="F168" s="35" t="s">
        <v>4403</v>
      </c>
    </row>
    <row r="169" spans="1:6" hidden="1" x14ac:dyDescent="0.25">
      <c r="A169" s="8">
        <v>1424</v>
      </c>
      <c r="B169" s="35" t="str">
        <f>VLOOKUP(A169,'Properties List'!$A$2:$C$299,3,FALSE)</f>
        <v>Birch House</v>
      </c>
      <c r="C169" t="s">
        <v>4402</v>
      </c>
      <c r="D169" t="str">
        <f t="shared" si="5"/>
        <v>Birch HousePCSS</v>
      </c>
      <c r="E169" s="24">
        <v>1.9991815949804492E-2</v>
      </c>
      <c r="F169" s="35" t="s">
        <v>4403</v>
      </c>
    </row>
    <row r="170" spans="1:6" x14ac:dyDescent="0.25">
      <c r="A170" s="8">
        <v>1356</v>
      </c>
      <c r="B170" s="35" t="str">
        <f>VLOOKUP(A170,'Properties List'!$A$2:$C$299,3,FALSE)</f>
        <v>Cardinal Square</v>
      </c>
      <c r="C170" t="s">
        <v>4402</v>
      </c>
      <c r="D170" t="str">
        <f t="shared" si="5"/>
        <v>Cardinal SquarePCSS</v>
      </c>
      <c r="E170" s="24" t="s">
        <v>4411</v>
      </c>
      <c r="F170" s="35" t="s">
        <v>4403</v>
      </c>
    </row>
    <row r="171" spans="1:6" hidden="1" x14ac:dyDescent="0.25">
      <c r="A171" s="8">
        <v>2122</v>
      </c>
      <c r="B171" s="35" t="str">
        <f>VLOOKUP(A171,'Properties List'!$A$2:$C$299,3,FALSE)</f>
        <v>Rushbrook House</v>
      </c>
      <c r="C171" t="s">
        <v>4402</v>
      </c>
      <c r="D171" t="str">
        <f t="shared" si="5"/>
        <v>Rushbrook HousePCSS</v>
      </c>
      <c r="E171" s="24" t="s">
        <v>4387</v>
      </c>
      <c r="F171" s="35" t="s">
        <v>4403</v>
      </c>
    </row>
    <row r="172" spans="1:6" x14ac:dyDescent="0.25">
      <c r="A172" s="8">
        <v>3513</v>
      </c>
      <c r="B172" s="35" t="str">
        <f>VLOOKUP(A172,'Properties List'!$A$2:$C$299,3,FALSE)</f>
        <v>Fosse House</v>
      </c>
      <c r="C172" t="s">
        <v>4402</v>
      </c>
      <c r="D172" t="str">
        <f t="shared" si="5"/>
        <v>Fosse HousePCSS</v>
      </c>
      <c r="E172" s="24" t="s">
        <v>4411</v>
      </c>
      <c r="F172" s="35" t="s">
        <v>4403</v>
      </c>
    </row>
    <row r="173" spans="1:6" x14ac:dyDescent="0.25">
      <c r="A173" s="8">
        <v>3539</v>
      </c>
      <c r="B173" s="35" t="str">
        <f>VLOOKUP(A173,'Properties List'!$A$2:$C$299,3,FALSE)</f>
        <v>Cross OCliff Court</v>
      </c>
      <c r="C173" t="s">
        <v>4402</v>
      </c>
      <c r="D173" t="str">
        <f t="shared" si="5"/>
        <v>Cross OCliff CourtPCSS</v>
      </c>
      <c r="E173" s="24" t="s">
        <v>4411</v>
      </c>
      <c r="F173" s="35" t="s">
        <v>4403</v>
      </c>
    </row>
    <row r="174" spans="1:6" hidden="1" x14ac:dyDescent="0.25">
      <c r="A174" s="68">
        <v>4053</v>
      </c>
      <c r="B174" s="35" t="str">
        <f>VLOOKUP(A174,'Properties List'!$A$2:$C$299,3,FALSE)</f>
        <v>Warehouse K</v>
      </c>
      <c r="C174" t="s">
        <v>4402</v>
      </c>
      <c r="D174" t="str">
        <f t="shared" si="5"/>
        <v>Warehouse KPCSS</v>
      </c>
      <c r="E174" s="24">
        <v>4.2299999999999997E-2</v>
      </c>
      <c r="F174" s="35" t="s">
        <v>4403</v>
      </c>
    </row>
    <row r="175" spans="1:6" x14ac:dyDescent="0.25">
      <c r="A175" s="8">
        <v>3945</v>
      </c>
      <c r="B175" s="35" t="str">
        <f>VLOOKUP(A175,'Properties List'!$A$2:$C$299,3,FALSE)</f>
        <v>Edgware Community Hospital</v>
      </c>
      <c r="C175" t="s">
        <v>4402</v>
      </c>
      <c r="D175" t="str">
        <f t="shared" si="5"/>
        <v>Edgware Community HospitalPCSS</v>
      </c>
      <c r="E175" s="24" t="s">
        <v>4411</v>
      </c>
      <c r="F175" s="35" t="s">
        <v>4403</v>
      </c>
    </row>
    <row r="176" spans="1:6" x14ac:dyDescent="0.25">
      <c r="A176" s="98">
        <v>923</v>
      </c>
      <c r="B176" s="55" t="str">
        <f>VLOOKUP(A176,'Properties List'!$A$2:$C$299,3,FALSE)</f>
        <v>Wynford House</v>
      </c>
      <c r="C176" t="s">
        <v>4402</v>
      </c>
      <c r="D176" t="str">
        <f t="shared" si="5"/>
        <v>Wynford HousePCSS</v>
      </c>
      <c r="E176" s="24" t="s">
        <v>4411</v>
      </c>
      <c r="F176" s="35" t="s">
        <v>4403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294"/>
  <sheetViews>
    <sheetView topLeftCell="A175" workbookViewId="0">
      <selection activeCell="C145" sqref="C145"/>
    </sheetView>
  </sheetViews>
  <sheetFormatPr defaultRowHeight="15" x14ac:dyDescent="0.25"/>
  <cols>
    <col min="1" max="1" width="8.28515625" bestFit="1" customWidth="1"/>
    <col min="2" max="2" width="7.85546875" bestFit="1" customWidth="1"/>
    <col min="3" max="3" width="56.42578125" bestFit="1" customWidth="1"/>
    <col min="4" max="4" width="10.140625" bestFit="1" customWidth="1"/>
    <col min="5" max="5" width="15.140625" bestFit="1" customWidth="1"/>
    <col min="6" max="6" width="32.28515625" bestFit="1" customWidth="1"/>
    <col min="7" max="7" width="7.85546875" bestFit="1" customWidth="1"/>
  </cols>
  <sheetData>
    <row r="1" spans="1:7" ht="60" x14ac:dyDescent="0.25">
      <c r="A1" s="25" t="s">
        <v>0</v>
      </c>
      <c r="B1" s="25" t="s">
        <v>1</v>
      </c>
      <c r="C1" s="25" t="s">
        <v>2</v>
      </c>
      <c r="D1" s="25" t="s">
        <v>3</v>
      </c>
      <c r="E1" s="25" t="s">
        <v>4</v>
      </c>
      <c r="F1" s="25" t="s">
        <v>5</v>
      </c>
      <c r="G1" s="25" t="s">
        <v>6</v>
      </c>
    </row>
    <row r="2" spans="1:7" x14ac:dyDescent="0.25">
      <c r="A2" s="5">
        <v>4</v>
      </c>
      <c r="B2" s="5">
        <v>5090</v>
      </c>
      <c r="C2" s="5" t="s">
        <v>7</v>
      </c>
      <c r="D2" s="5" t="s">
        <v>8</v>
      </c>
      <c r="E2" s="5" t="s">
        <v>9</v>
      </c>
      <c r="F2" s="5" t="s">
        <v>10</v>
      </c>
      <c r="G2" s="4" t="str">
        <f>IF(LEN(B2)&gt;3,"AR"&amp;B2,"TBC")</f>
        <v>AR5090</v>
      </c>
    </row>
    <row r="3" spans="1:7" x14ac:dyDescent="0.25">
      <c r="A3" s="5">
        <v>10</v>
      </c>
      <c r="B3" s="5">
        <v>5104</v>
      </c>
      <c r="C3" s="5" t="s">
        <v>11</v>
      </c>
      <c r="D3" s="5" t="s">
        <v>12</v>
      </c>
      <c r="E3" s="5" t="s">
        <v>9</v>
      </c>
      <c r="F3" s="5" t="s">
        <v>10</v>
      </c>
      <c r="G3" s="4" t="str">
        <f t="shared" ref="G3:G66" si="0">IF(LEN(B3)&gt;3,"AR"&amp;B3,"TBC")</f>
        <v>AR5104</v>
      </c>
    </row>
    <row r="4" spans="1:7" x14ac:dyDescent="0.25">
      <c r="A4" s="5">
        <v>167</v>
      </c>
      <c r="B4" s="5">
        <v>5146</v>
      </c>
      <c r="C4" s="5" t="s">
        <v>13</v>
      </c>
      <c r="D4" s="5" t="s">
        <v>14</v>
      </c>
      <c r="E4" s="5" t="s">
        <v>9</v>
      </c>
      <c r="F4" s="5" t="s">
        <v>10</v>
      </c>
      <c r="G4" s="4" t="str">
        <f t="shared" si="0"/>
        <v>AR5146</v>
      </c>
    </row>
    <row r="5" spans="1:7" x14ac:dyDescent="0.25">
      <c r="A5" s="5">
        <v>190</v>
      </c>
      <c r="B5" s="5">
        <v>5182</v>
      </c>
      <c r="C5" s="5" t="s">
        <v>15</v>
      </c>
      <c r="D5" s="5" t="s">
        <v>16</v>
      </c>
      <c r="E5" s="5" t="s">
        <v>9</v>
      </c>
      <c r="F5" s="5" t="s">
        <v>10</v>
      </c>
      <c r="G5" s="4" t="str">
        <f t="shared" si="0"/>
        <v>AR5182</v>
      </c>
    </row>
    <row r="6" spans="1:7" x14ac:dyDescent="0.25">
      <c r="A6" s="5">
        <v>199</v>
      </c>
      <c r="B6" s="5">
        <v>5205</v>
      </c>
      <c r="C6" s="5" t="s">
        <v>17</v>
      </c>
      <c r="D6" s="5" t="s">
        <v>18</v>
      </c>
      <c r="E6" s="5" t="s">
        <v>9</v>
      </c>
      <c r="F6" s="5" t="s">
        <v>10</v>
      </c>
      <c r="G6" s="4" t="str">
        <f t="shared" si="0"/>
        <v>AR5205</v>
      </c>
    </row>
    <row r="7" spans="1:7" x14ac:dyDescent="0.25">
      <c r="A7" s="5">
        <v>243</v>
      </c>
      <c r="B7" s="5">
        <v>5041</v>
      </c>
      <c r="C7" s="5" t="s">
        <v>19</v>
      </c>
      <c r="D7" s="5" t="s">
        <v>20</v>
      </c>
      <c r="E7" s="5" t="s">
        <v>9</v>
      </c>
      <c r="F7" s="5" t="s">
        <v>10</v>
      </c>
      <c r="G7" s="4" t="str">
        <f t="shared" si="0"/>
        <v>AR5041</v>
      </c>
    </row>
    <row r="8" spans="1:7" x14ac:dyDescent="0.25">
      <c r="A8" s="5">
        <v>251</v>
      </c>
      <c r="B8" s="5">
        <v>5057</v>
      </c>
      <c r="C8" s="5" t="s">
        <v>21</v>
      </c>
      <c r="D8" s="5" t="s">
        <v>22</v>
      </c>
      <c r="E8" s="5" t="s">
        <v>9</v>
      </c>
      <c r="F8" s="5" t="s">
        <v>10</v>
      </c>
      <c r="G8" s="4" t="str">
        <f t="shared" si="0"/>
        <v>AR5057</v>
      </c>
    </row>
    <row r="9" spans="1:7" x14ac:dyDescent="0.25">
      <c r="A9" s="5">
        <v>255</v>
      </c>
      <c r="B9" s="5">
        <v>5055</v>
      </c>
      <c r="C9" s="5" t="s">
        <v>23</v>
      </c>
      <c r="D9" s="5" t="s">
        <v>22</v>
      </c>
      <c r="E9" s="5" t="s">
        <v>9</v>
      </c>
      <c r="F9" s="5" t="s">
        <v>10</v>
      </c>
      <c r="G9" s="4" t="str">
        <f t="shared" si="0"/>
        <v>AR5055</v>
      </c>
    </row>
    <row r="10" spans="1:7" x14ac:dyDescent="0.25">
      <c r="A10" s="5">
        <v>388</v>
      </c>
      <c r="B10" s="5">
        <v>9029</v>
      </c>
      <c r="C10" s="5" t="s">
        <v>24</v>
      </c>
      <c r="D10" s="5" t="s">
        <v>25</v>
      </c>
      <c r="E10" s="5" t="s">
        <v>26</v>
      </c>
      <c r="F10" s="5" t="s">
        <v>27</v>
      </c>
      <c r="G10" s="4" t="str">
        <f t="shared" si="0"/>
        <v>AR9029</v>
      </c>
    </row>
    <row r="11" spans="1:7" x14ac:dyDescent="0.25">
      <c r="A11" s="5">
        <v>409</v>
      </c>
      <c r="B11" s="5">
        <v>8009</v>
      </c>
      <c r="C11" s="5" t="s">
        <v>28</v>
      </c>
      <c r="D11" s="5" t="s">
        <v>29</v>
      </c>
      <c r="E11" s="5" t="s">
        <v>26</v>
      </c>
      <c r="F11" s="5" t="s">
        <v>27</v>
      </c>
      <c r="G11" s="4" t="str">
        <f t="shared" si="0"/>
        <v>AR8009</v>
      </c>
    </row>
    <row r="12" spans="1:7" x14ac:dyDescent="0.25">
      <c r="A12" s="5">
        <v>424</v>
      </c>
      <c r="B12" s="5">
        <v>8044</v>
      </c>
      <c r="C12" s="5" t="s">
        <v>30</v>
      </c>
      <c r="D12" s="5" t="s">
        <v>31</v>
      </c>
      <c r="E12" s="5" t="s">
        <v>26</v>
      </c>
      <c r="F12" s="5" t="s">
        <v>27</v>
      </c>
      <c r="G12" s="4" t="str">
        <f t="shared" si="0"/>
        <v>AR8044</v>
      </c>
    </row>
    <row r="13" spans="1:7" x14ac:dyDescent="0.25">
      <c r="A13" s="5">
        <v>444</v>
      </c>
      <c r="B13" s="5">
        <v>8084</v>
      </c>
      <c r="C13" s="5" t="s">
        <v>329</v>
      </c>
      <c r="D13" s="5" t="s">
        <v>330</v>
      </c>
      <c r="E13" s="5" t="s">
        <v>26</v>
      </c>
      <c r="F13" s="5" t="s">
        <v>27</v>
      </c>
      <c r="G13" s="4" t="str">
        <f t="shared" si="0"/>
        <v>AR8084</v>
      </c>
    </row>
    <row r="14" spans="1:7" x14ac:dyDescent="0.25">
      <c r="A14" s="5">
        <v>448</v>
      </c>
      <c r="B14" s="5">
        <v>8079</v>
      </c>
      <c r="C14" s="5" t="s">
        <v>32</v>
      </c>
      <c r="D14" s="5" t="s">
        <v>33</v>
      </c>
      <c r="E14" s="5" t="s">
        <v>26</v>
      </c>
      <c r="F14" s="5" t="s">
        <v>27</v>
      </c>
      <c r="G14" s="4" t="str">
        <f t="shared" si="0"/>
        <v>AR8079</v>
      </c>
    </row>
    <row r="15" spans="1:7" x14ac:dyDescent="0.25">
      <c r="A15" s="5">
        <v>458</v>
      </c>
      <c r="B15" s="5">
        <v>9026</v>
      </c>
      <c r="C15" s="5" t="s">
        <v>34</v>
      </c>
      <c r="D15" s="5" t="s">
        <v>35</v>
      </c>
      <c r="E15" s="5" t="s">
        <v>26</v>
      </c>
      <c r="F15" s="5" t="s">
        <v>27</v>
      </c>
      <c r="G15" s="4" t="str">
        <f t="shared" si="0"/>
        <v>AR9026</v>
      </c>
    </row>
    <row r="16" spans="1:7" x14ac:dyDescent="0.25">
      <c r="A16" s="5">
        <v>622</v>
      </c>
      <c r="B16" s="5">
        <v>5336</v>
      </c>
      <c r="C16" s="5" t="s">
        <v>36</v>
      </c>
      <c r="D16" s="5" t="s">
        <v>37</v>
      </c>
      <c r="E16" s="5" t="s">
        <v>9</v>
      </c>
      <c r="F16" s="5" t="s">
        <v>10</v>
      </c>
      <c r="G16" s="4" t="str">
        <f t="shared" si="0"/>
        <v>AR5336</v>
      </c>
    </row>
    <row r="17" spans="1:7" x14ac:dyDescent="0.25">
      <c r="A17" s="5">
        <v>624</v>
      </c>
      <c r="B17" s="5">
        <v>5338</v>
      </c>
      <c r="C17" s="5" t="s">
        <v>38</v>
      </c>
      <c r="D17" s="5" t="s">
        <v>39</v>
      </c>
      <c r="E17" s="5" t="s">
        <v>9</v>
      </c>
      <c r="F17" s="5" t="s">
        <v>10</v>
      </c>
      <c r="G17" s="4" t="str">
        <f t="shared" si="0"/>
        <v>AR5338</v>
      </c>
    </row>
    <row r="18" spans="1:7" x14ac:dyDescent="0.25">
      <c r="A18" s="5">
        <v>664</v>
      </c>
      <c r="B18" s="5">
        <v>5285</v>
      </c>
      <c r="C18" s="85" t="s">
        <v>484</v>
      </c>
      <c r="D18" s="5" t="s">
        <v>41</v>
      </c>
      <c r="E18" s="5" t="s">
        <v>9</v>
      </c>
      <c r="F18" s="5" t="s">
        <v>10</v>
      </c>
      <c r="G18" s="4" t="str">
        <f t="shared" si="0"/>
        <v>AR5285</v>
      </c>
    </row>
    <row r="19" spans="1:7" x14ac:dyDescent="0.25">
      <c r="A19" s="5">
        <v>726</v>
      </c>
      <c r="B19" s="5">
        <v>5317</v>
      </c>
      <c r="C19" s="5" t="s">
        <v>42</v>
      </c>
      <c r="D19" s="5" t="s">
        <v>43</v>
      </c>
      <c r="E19" s="5" t="s">
        <v>9</v>
      </c>
      <c r="F19" s="5" t="s">
        <v>10</v>
      </c>
      <c r="G19" s="4" t="str">
        <f t="shared" si="0"/>
        <v>AR5317</v>
      </c>
    </row>
    <row r="20" spans="1:7" x14ac:dyDescent="0.25">
      <c r="A20" s="5">
        <v>758</v>
      </c>
      <c r="B20" s="5">
        <v>5527</v>
      </c>
      <c r="C20" s="85" t="s">
        <v>4397</v>
      </c>
      <c r="D20" s="5" t="s">
        <v>45</v>
      </c>
      <c r="E20" s="5" t="s">
        <v>9</v>
      </c>
      <c r="F20" s="5" t="s">
        <v>10</v>
      </c>
      <c r="G20" s="4" t="str">
        <f t="shared" si="0"/>
        <v>AR5527</v>
      </c>
    </row>
    <row r="21" spans="1:7" x14ac:dyDescent="0.25">
      <c r="A21" s="5">
        <v>822</v>
      </c>
      <c r="B21" s="5">
        <v>8141</v>
      </c>
      <c r="C21" s="5" t="s">
        <v>46</v>
      </c>
      <c r="D21" s="5" t="s">
        <v>47</v>
      </c>
      <c r="E21" s="5" t="s">
        <v>26</v>
      </c>
      <c r="F21" s="5" t="s">
        <v>48</v>
      </c>
      <c r="G21" s="4" t="str">
        <f t="shared" si="0"/>
        <v>AR8141</v>
      </c>
    </row>
    <row r="22" spans="1:7" x14ac:dyDescent="0.25">
      <c r="A22" s="5">
        <v>843</v>
      </c>
      <c r="B22" s="5">
        <v>8176</v>
      </c>
      <c r="C22" s="5" t="s">
        <v>49</v>
      </c>
      <c r="D22" s="5" t="s">
        <v>50</v>
      </c>
      <c r="E22" s="5" t="s">
        <v>26</v>
      </c>
      <c r="F22" s="5" t="s">
        <v>48</v>
      </c>
      <c r="G22" s="4" t="str">
        <f t="shared" si="0"/>
        <v>AR8176</v>
      </c>
    </row>
    <row r="23" spans="1:7" x14ac:dyDescent="0.25">
      <c r="A23" s="5">
        <v>881</v>
      </c>
      <c r="B23" s="5">
        <v>8118</v>
      </c>
      <c r="C23" s="5" t="s">
        <v>51</v>
      </c>
      <c r="D23" s="5" t="s">
        <v>52</v>
      </c>
      <c r="E23" s="5" t="s">
        <v>26</v>
      </c>
      <c r="F23" s="5" t="s">
        <v>48</v>
      </c>
      <c r="G23" s="4" t="str">
        <f t="shared" si="0"/>
        <v>AR8118</v>
      </c>
    </row>
    <row r="24" spans="1:7" x14ac:dyDescent="0.25">
      <c r="A24" s="5">
        <v>913</v>
      </c>
      <c r="B24" s="5">
        <v>8176</v>
      </c>
      <c r="C24" s="5" t="s">
        <v>49</v>
      </c>
      <c r="D24" s="5" t="s">
        <v>50</v>
      </c>
      <c r="E24" s="5" t="s">
        <v>26</v>
      </c>
      <c r="F24" s="5" t="s">
        <v>48</v>
      </c>
      <c r="G24" s="4" t="str">
        <f t="shared" si="0"/>
        <v>AR8176</v>
      </c>
    </row>
    <row r="25" spans="1:7" x14ac:dyDescent="0.25">
      <c r="A25" s="5">
        <v>923</v>
      </c>
      <c r="B25" s="5">
        <v>8181</v>
      </c>
      <c r="C25" s="5" t="s">
        <v>53</v>
      </c>
      <c r="D25" s="5" t="s">
        <v>54</v>
      </c>
      <c r="E25" s="5" t="s">
        <v>26</v>
      </c>
      <c r="F25" s="5" t="s">
        <v>48</v>
      </c>
      <c r="G25" s="4" t="str">
        <f t="shared" si="0"/>
        <v>AR8181</v>
      </c>
    </row>
    <row r="26" spans="1:7" x14ac:dyDescent="0.25">
      <c r="A26" s="5">
        <v>995</v>
      </c>
      <c r="B26" s="5">
        <v>2505</v>
      </c>
      <c r="C26" s="5" t="s">
        <v>55</v>
      </c>
      <c r="D26" s="5" t="s">
        <v>56</v>
      </c>
      <c r="E26" s="5" t="s">
        <v>57</v>
      </c>
      <c r="F26" s="5" t="s">
        <v>58</v>
      </c>
      <c r="G26" s="4" t="str">
        <f t="shared" si="0"/>
        <v>AR2505</v>
      </c>
    </row>
    <row r="27" spans="1:7" x14ac:dyDescent="0.25">
      <c r="A27" s="5">
        <v>997</v>
      </c>
      <c r="B27" s="5">
        <v>2507</v>
      </c>
      <c r="C27" s="5" t="s">
        <v>59</v>
      </c>
      <c r="D27" s="5" t="s">
        <v>60</v>
      </c>
      <c r="E27" s="5" t="s">
        <v>57</v>
      </c>
      <c r="F27" s="5" t="s">
        <v>58</v>
      </c>
      <c r="G27" s="4" t="str">
        <f t="shared" si="0"/>
        <v>AR2507</v>
      </c>
    </row>
    <row r="28" spans="1:7" x14ac:dyDescent="0.25">
      <c r="A28" s="5">
        <v>1038</v>
      </c>
      <c r="B28" s="5">
        <v>2586</v>
      </c>
      <c r="C28" s="5" t="s">
        <v>61</v>
      </c>
      <c r="D28" s="5" t="s">
        <v>62</v>
      </c>
      <c r="E28" s="5" t="s">
        <v>57</v>
      </c>
      <c r="F28" s="5" t="s">
        <v>58</v>
      </c>
      <c r="G28" s="4" t="str">
        <f t="shared" si="0"/>
        <v>AR2586</v>
      </c>
    </row>
    <row r="29" spans="1:7" x14ac:dyDescent="0.25">
      <c r="A29" s="5">
        <v>1046</v>
      </c>
      <c r="B29" s="5">
        <v>2574</v>
      </c>
      <c r="C29" s="5" t="s">
        <v>63</v>
      </c>
      <c r="D29" s="5" t="s">
        <v>64</v>
      </c>
      <c r="E29" s="5" t="s">
        <v>57</v>
      </c>
      <c r="F29" s="5" t="s">
        <v>58</v>
      </c>
      <c r="G29" s="4" t="str">
        <f t="shared" si="0"/>
        <v>AR2574</v>
      </c>
    </row>
    <row r="30" spans="1:7" x14ac:dyDescent="0.25">
      <c r="A30" s="5">
        <v>1049</v>
      </c>
      <c r="B30" s="5">
        <v>2586</v>
      </c>
      <c r="C30" s="5" t="s">
        <v>65</v>
      </c>
      <c r="D30" s="5" t="s">
        <v>62</v>
      </c>
      <c r="E30" s="5" t="s">
        <v>57</v>
      </c>
      <c r="F30" s="5" t="s">
        <v>58</v>
      </c>
      <c r="G30" s="4" t="str">
        <f t="shared" si="0"/>
        <v>AR2586</v>
      </c>
    </row>
    <row r="31" spans="1:7" x14ac:dyDescent="0.25">
      <c r="A31" s="5">
        <v>1070</v>
      </c>
      <c r="B31" s="5">
        <v>2625</v>
      </c>
      <c r="C31" s="5" t="s">
        <v>66</v>
      </c>
      <c r="D31" s="5" t="s">
        <v>67</v>
      </c>
      <c r="E31" s="5" t="s">
        <v>57</v>
      </c>
      <c r="F31" s="5" t="s">
        <v>58</v>
      </c>
      <c r="G31" s="4" t="str">
        <f t="shared" si="0"/>
        <v>AR2625</v>
      </c>
    </row>
    <row r="32" spans="1:7" x14ac:dyDescent="0.25">
      <c r="A32" s="5">
        <v>1102</v>
      </c>
      <c r="B32" s="5">
        <v>2930</v>
      </c>
      <c r="C32" s="5" t="s">
        <v>68</v>
      </c>
      <c r="D32" s="5" t="s">
        <v>69</v>
      </c>
      <c r="E32" s="5" t="s">
        <v>57</v>
      </c>
      <c r="F32" s="5" t="s">
        <v>70</v>
      </c>
      <c r="G32" s="4" t="str">
        <f t="shared" si="0"/>
        <v>AR2930</v>
      </c>
    </row>
    <row r="33" spans="1:7" x14ac:dyDescent="0.25">
      <c r="A33" s="5">
        <v>1109</v>
      </c>
      <c r="B33" s="5">
        <v>2698</v>
      </c>
      <c r="C33" s="5" t="s">
        <v>71</v>
      </c>
      <c r="D33" s="5" t="s">
        <v>72</v>
      </c>
      <c r="E33" s="5" t="s">
        <v>57</v>
      </c>
      <c r="F33" s="5" t="s">
        <v>70</v>
      </c>
      <c r="G33" s="4" t="str">
        <f t="shared" si="0"/>
        <v>AR2698</v>
      </c>
    </row>
    <row r="34" spans="1:7" x14ac:dyDescent="0.25">
      <c r="A34" s="5">
        <v>1112</v>
      </c>
      <c r="B34" s="5">
        <v>2701</v>
      </c>
      <c r="C34" s="5" t="s">
        <v>73</v>
      </c>
      <c r="D34" s="5" t="s">
        <v>74</v>
      </c>
      <c r="E34" s="5" t="s">
        <v>57</v>
      </c>
      <c r="F34" s="5" t="s">
        <v>70</v>
      </c>
      <c r="G34" s="4" t="str">
        <f t="shared" si="0"/>
        <v>AR2701</v>
      </c>
    </row>
    <row r="35" spans="1:7" x14ac:dyDescent="0.25">
      <c r="A35" s="5">
        <v>1142</v>
      </c>
      <c r="B35" s="5">
        <v>2729</v>
      </c>
      <c r="C35" s="5" t="s">
        <v>75</v>
      </c>
      <c r="D35" s="5" t="s">
        <v>76</v>
      </c>
      <c r="E35" s="5" t="s">
        <v>57</v>
      </c>
      <c r="F35" s="5" t="s">
        <v>70</v>
      </c>
      <c r="G35" s="4" t="str">
        <f t="shared" si="0"/>
        <v>AR2729</v>
      </c>
    </row>
    <row r="36" spans="1:7" x14ac:dyDescent="0.25">
      <c r="A36" s="5">
        <v>1194</v>
      </c>
      <c r="B36" s="5">
        <v>2673</v>
      </c>
      <c r="C36" s="5" t="s">
        <v>77</v>
      </c>
      <c r="D36" s="5" t="s">
        <v>78</v>
      </c>
      <c r="E36" s="5" t="s">
        <v>57</v>
      </c>
      <c r="F36" s="5" t="s">
        <v>70</v>
      </c>
      <c r="G36" s="4" t="str">
        <f t="shared" si="0"/>
        <v>AR2673</v>
      </c>
    </row>
    <row r="37" spans="1:7" x14ac:dyDescent="0.25">
      <c r="A37" s="5">
        <v>1294</v>
      </c>
      <c r="B37" s="5">
        <v>2929</v>
      </c>
      <c r="C37" s="5" t="s">
        <v>79</v>
      </c>
      <c r="D37" s="5" t="s">
        <v>80</v>
      </c>
      <c r="E37" s="5" t="s">
        <v>57</v>
      </c>
      <c r="F37" s="5" t="s">
        <v>70</v>
      </c>
      <c r="G37" s="4" t="str">
        <f t="shared" si="0"/>
        <v>AR2929</v>
      </c>
    </row>
    <row r="38" spans="1:7" x14ac:dyDescent="0.25">
      <c r="A38" s="5">
        <v>1356</v>
      </c>
      <c r="B38" s="5">
        <v>5608</v>
      </c>
      <c r="C38" s="5" t="s">
        <v>81</v>
      </c>
      <c r="D38" s="5" t="s">
        <v>82</v>
      </c>
      <c r="E38" s="5" t="s">
        <v>9</v>
      </c>
      <c r="F38" s="5" t="s">
        <v>83</v>
      </c>
      <c r="G38" s="4" t="str">
        <f t="shared" si="0"/>
        <v>AR5608</v>
      </c>
    </row>
    <row r="39" spans="1:7" x14ac:dyDescent="0.25">
      <c r="A39" s="5">
        <v>1386</v>
      </c>
      <c r="B39" s="5">
        <v>5638</v>
      </c>
      <c r="C39" s="5" t="s">
        <v>84</v>
      </c>
      <c r="D39" s="5" t="s">
        <v>85</v>
      </c>
      <c r="E39" s="5" t="s">
        <v>9</v>
      </c>
      <c r="F39" s="5" t="s">
        <v>83</v>
      </c>
      <c r="G39" s="4" t="str">
        <f t="shared" si="0"/>
        <v>AR5638</v>
      </c>
    </row>
    <row r="40" spans="1:7" x14ac:dyDescent="0.25">
      <c r="A40" s="5">
        <v>1424</v>
      </c>
      <c r="B40" s="5">
        <v>5652</v>
      </c>
      <c r="C40" s="5" t="s">
        <v>86</v>
      </c>
      <c r="D40" s="5" t="s">
        <v>87</v>
      </c>
      <c r="E40" s="5" t="s">
        <v>9</v>
      </c>
      <c r="F40" s="5" t="s">
        <v>83</v>
      </c>
      <c r="G40" s="4" t="str">
        <f t="shared" si="0"/>
        <v>AR5652</v>
      </c>
    </row>
    <row r="41" spans="1:7" x14ac:dyDescent="0.25">
      <c r="A41" s="5">
        <v>1584</v>
      </c>
      <c r="B41" s="5">
        <v>8304</v>
      </c>
      <c r="C41" s="5" t="s">
        <v>88</v>
      </c>
      <c r="D41" s="5" t="s">
        <v>89</v>
      </c>
      <c r="E41" s="5" t="s">
        <v>26</v>
      </c>
      <c r="F41" s="5" t="s">
        <v>48</v>
      </c>
      <c r="G41" s="4" t="str">
        <f t="shared" si="0"/>
        <v>AR8304</v>
      </c>
    </row>
    <row r="42" spans="1:7" x14ac:dyDescent="0.25">
      <c r="A42" s="5">
        <v>1592</v>
      </c>
      <c r="B42" s="5">
        <v>8311</v>
      </c>
      <c r="C42" s="5" t="s">
        <v>90</v>
      </c>
      <c r="D42" s="5" t="s">
        <v>91</v>
      </c>
      <c r="E42" s="5" t="s">
        <v>26</v>
      </c>
      <c r="F42" s="5" t="s">
        <v>48</v>
      </c>
      <c r="G42" s="4" t="str">
        <f t="shared" si="0"/>
        <v>AR8311</v>
      </c>
    </row>
    <row r="43" spans="1:7" x14ac:dyDescent="0.25">
      <c r="A43" s="5">
        <v>1733</v>
      </c>
      <c r="B43" s="5">
        <v>2965</v>
      </c>
      <c r="C43" s="5" t="s">
        <v>92</v>
      </c>
      <c r="D43" s="5" t="s">
        <v>93</v>
      </c>
      <c r="E43" s="5" t="s">
        <v>57</v>
      </c>
      <c r="F43" s="5" t="s">
        <v>70</v>
      </c>
      <c r="G43" s="4" t="str">
        <f t="shared" si="0"/>
        <v>AR2965</v>
      </c>
    </row>
    <row r="44" spans="1:7" x14ac:dyDescent="0.25">
      <c r="A44" s="5">
        <v>1812</v>
      </c>
      <c r="B44" s="5">
        <v>3115</v>
      </c>
      <c r="C44" s="5" t="s">
        <v>337</v>
      </c>
      <c r="D44" s="5" t="s">
        <v>338</v>
      </c>
      <c r="E44" s="5" t="s">
        <v>57</v>
      </c>
      <c r="F44" s="5" t="s">
        <v>70</v>
      </c>
      <c r="G44" s="4" t="str">
        <f t="shared" si="0"/>
        <v>AR3115</v>
      </c>
    </row>
    <row r="45" spans="1:7" x14ac:dyDescent="0.25">
      <c r="A45" s="5">
        <v>1855</v>
      </c>
      <c r="B45" s="5">
        <v>3075</v>
      </c>
      <c r="C45" s="5" t="s">
        <v>94</v>
      </c>
      <c r="D45" s="5" t="s">
        <v>95</v>
      </c>
      <c r="E45" s="5" t="s">
        <v>57</v>
      </c>
      <c r="F45" s="5" t="s">
        <v>70</v>
      </c>
      <c r="G45" s="4" t="str">
        <f t="shared" si="0"/>
        <v>AR3075</v>
      </c>
    </row>
    <row r="46" spans="1:7" x14ac:dyDescent="0.25">
      <c r="A46" s="5">
        <v>1984</v>
      </c>
      <c r="B46" s="5">
        <v>5902</v>
      </c>
      <c r="C46" s="5" t="s">
        <v>96</v>
      </c>
      <c r="D46" s="5" t="s">
        <v>97</v>
      </c>
      <c r="E46" s="5" t="s">
        <v>9</v>
      </c>
      <c r="F46" s="5" t="s">
        <v>98</v>
      </c>
      <c r="G46" s="4" t="str">
        <f t="shared" si="0"/>
        <v>AR5902</v>
      </c>
    </row>
    <row r="47" spans="1:7" x14ac:dyDescent="0.25">
      <c r="A47" s="5">
        <v>2009</v>
      </c>
      <c r="B47" s="5">
        <v>5809</v>
      </c>
      <c r="C47" s="5" t="s">
        <v>99</v>
      </c>
      <c r="D47" s="5" t="s">
        <v>100</v>
      </c>
      <c r="E47" s="5" t="s">
        <v>9</v>
      </c>
      <c r="F47" s="5" t="s">
        <v>98</v>
      </c>
      <c r="G47" s="4" t="str">
        <f t="shared" si="0"/>
        <v>AR5809</v>
      </c>
    </row>
    <row r="48" spans="1:7" x14ac:dyDescent="0.25">
      <c r="A48" s="5">
        <v>2065</v>
      </c>
      <c r="B48" s="5">
        <v>5765</v>
      </c>
      <c r="C48" s="5" t="s">
        <v>101</v>
      </c>
      <c r="D48" s="5" t="s">
        <v>102</v>
      </c>
      <c r="E48" s="5" t="s">
        <v>9</v>
      </c>
      <c r="F48" s="5" t="s">
        <v>98</v>
      </c>
      <c r="G48" s="4" t="str">
        <f t="shared" si="0"/>
        <v>AR5765</v>
      </c>
    </row>
    <row r="49" spans="1:7" x14ac:dyDescent="0.25">
      <c r="A49" s="5">
        <v>2066</v>
      </c>
      <c r="B49" s="5">
        <v>5766</v>
      </c>
      <c r="C49" s="5" t="s">
        <v>103</v>
      </c>
      <c r="D49" s="5" t="s">
        <v>104</v>
      </c>
      <c r="E49" s="5" t="s">
        <v>9</v>
      </c>
      <c r="F49" s="5" t="s">
        <v>98</v>
      </c>
      <c r="G49" s="4" t="str">
        <f t="shared" si="0"/>
        <v>AR5766</v>
      </c>
    </row>
    <row r="50" spans="1:7" x14ac:dyDescent="0.25">
      <c r="A50" s="5">
        <v>2122</v>
      </c>
      <c r="B50" s="5">
        <v>5812</v>
      </c>
      <c r="C50" s="5" t="s">
        <v>323</v>
      </c>
      <c r="D50" s="5">
        <v>0</v>
      </c>
      <c r="E50" s="5" t="s">
        <v>9</v>
      </c>
      <c r="F50" s="5" t="s">
        <v>98</v>
      </c>
      <c r="G50" s="4" t="str">
        <f t="shared" si="0"/>
        <v>AR5812</v>
      </c>
    </row>
    <row r="51" spans="1:7" x14ac:dyDescent="0.25">
      <c r="A51" s="5">
        <v>2215</v>
      </c>
      <c r="B51" s="5">
        <v>6045</v>
      </c>
      <c r="C51" s="5" t="s">
        <v>105</v>
      </c>
      <c r="D51" s="5" t="s">
        <v>106</v>
      </c>
      <c r="E51" s="5" t="s">
        <v>9</v>
      </c>
      <c r="F51" s="5" t="s">
        <v>98</v>
      </c>
      <c r="G51" s="4" t="str">
        <f t="shared" si="0"/>
        <v>AR6045</v>
      </c>
    </row>
    <row r="52" spans="1:7" x14ac:dyDescent="0.25">
      <c r="A52" s="5">
        <v>2232</v>
      </c>
      <c r="B52" s="5">
        <v>6063</v>
      </c>
      <c r="C52" s="5" t="s">
        <v>107</v>
      </c>
      <c r="D52" s="5" t="s">
        <v>108</v>
      </c>
      <c r="E52" s="5" t="s">
        <v>9</v>
      </c>
      <c r="F52" s="5" t="s">
        <v>98</v>
      </c>
      <c r="G52" s="4" t="str">
        <f t="shared" si="0"/>
        <v>AR6063</v>
      </c>
    </row>
    <row r="53" spans="1:7" x14ac:dyDescent="0.25">
      <c r="A53" s="5">
        <v>2347</v>
      </c>
      <c r="B53" s="5">
        <v>5997</v>
      </c>
      <c r="C53" s="5" t="s">
        <v>109</v>
      </c>
      <c r="D53" s="5" t="s">
        <v>110</v>
      </c>
      <c r="E53" s="5" t="s">
        <v>9</v>
      </c>
      <c r="F53" s="5" t="s">
        <v>98</v>
      </c>
      <c r="G53" s="4" t="str">
        <f t="shared" si="0"/>
        <v>AR5997</v>
      </c>
    </row>
    <row r="54" spans="1:7" x14ac:dyDescent="0.25">
      <c r="A54" s="5">
        <v>2348</v>
      </c>
      <c r="B54" s="5">
        <v>5999</v>
      </c>
      <c r="C54" s="5" t="s">
        <v>111</v>
      </c>
      <c r="D54" s="5" t="s">
        <v>110</v>
      </c>
      <c r="E54" s="5" t="s">
        <v>9</v>
      </c>
      <c r="F54" s="5" t="s">
        <v>98</v>
      </c>
      <c r="G54" s="4" t="str">
        <f t="shared" si="0"/>
        <v>AR5999</v>
      </c>
    </row>
    <row r="55" spans="1:7" x14ac:dyDescent="0.25">
      <c r="A55" s="5">
        <v>2351</v>
      </c>
      <c r="B55" s="5">
        <v>5963</v>
      </c>
      <c r="C55" s="5" t="s">
        <v>112</v>
      </c>
      <c r="D55" s="5" t="s">
        <v>113</v>
      </c>
      <c r="E55" s="5" t="s">
        <v>9</v>
      </c>
      <c r="F55" s="5" t="s">
        <v>98</v>
      </c>
      <c r="G55" s="4" t="str">
        <f t="shared" si="0"/>
        <v>AR5963</v>
      </c>
    </row>
    <row r="56" spans="1:7" x14ac:dyDescent="0.25">
      <c r="A56" s="5">
        <v>2447</v>
      </c>
      <c r="B56" s="5">
        <v>3414</v>
      </c>
      <c r="C56" s="5" t="s">
        <v>114</v>
      </c>
      <c r="D56" s="5" t="s">
        <v>115</v>
      </c>
      <c r="E56" s="5" t="s">
        <v>57</v>
      </c>
      <c r="F56" s="5" t="s">
        <v>58</v>
      </c>
      <c r="G56" s="4" t="str">
        <f t="shared" si="0"/>
        <v>AR3414</v>
      </c>
    </row>
    <row r="57" spans="1:7" x14ac:dyDescent="0.25">
      <c r="A57" s="26">
        <v>2467</v>
      </c>
      <c r="B57" s="5">
        <v>3466</v>
      </c>
      <c r="C57" s="5" t="s">
        <v>320</v>
      </c>
      <c r="D57" s="5" t="s">
        <v>321</v>
      </c>
      <c r="E57" s="5" t="s">
        <v>57</v>
      </c>
      <c r="F57" s="5" t="s">
        <v>58</v>
      </c>
      <c r="G57" s="4" t="str">
        <f t="shared" si="0"/>
        <v>AR3466</v>
      </c>
    </row>
    <row r="58" spans="1:7" x14ac:dyDescent="0.25">
      <c r="A58" s="5">
        <v>2525</v>
      </c>
      <c r="B58" s="5">
        <v>3262</v>
      </c>
      <c r="C58" s="5" t="s">
        <v>334</v>
      </c>
      <c r="D58" s="5" t="s">
        <v>335</v>
      </c>
      <c r="E58" s="5" t="s">
        <v>57</v>
      </c>
      <c r="F58" s="5" t="s">
        <v>58</v>
      </c>
      <c r="G58" s="4" t="str">
        <f t="shared" si="0"/>
        <v>AR3262</v>
      </c>
    </row>
    <row r="59" spans="1:7" x14ac:dyDescent="0.25">
      <c r="A59" s="5">
        <v>2529</v>
      </c>
      <c r="B59" s="5">
        <v>3283</v>
      </c>
      <c r="C59" s="5" t="s">
        <v>116</v>
      </c>
      <c r="D59" s="5" t="s">
        <v>117</v>
      </c>
      <c r="E59" s="5" t="s">
        <v>57</v>
      </c>
      <c r="F59" s="5" t="s">
        <v>58</v>
      </c>
      <c r="G59" s="4" t="str">
        <f t="shared" si="0"/>
        <v>AR3283</v>
      </c>
    </row>
    <row r="60" spans="1:7" x14ac:dyDescent="0.25">
      <c r="A60" s="5">
        <v>2555</v>
      </c>
      <c r="B60" s="5">
        <v>3325</v>
      </c>
      <c r="C60" s="5" t="s">
        <v>118</v>
      </c>
      <c r="D60" s="5" t="s">
        <v>119</v>
      </c>
      <c r="E60" s="5" t="s">
        <v>57</v>
      </c>
      <c r="F60" s="5" t="s">
        <v>58</v>
      </c>
      <c r="G60" s="4" t="str">
        <f t="shared" si="0"/>
        <v>AR3325</v>
      </c>
    </row>
    <row r="61" spans="1:7" x14ac:dyDescent="0.25">
      <c r="A61" s="5">
        <v>2558</v>
      </c>
      <c r="B61" s="5">
        <v>3160</v>
      </c>
      <c r="C61" s="5" t="s">
        <v>120</v>
      </c>
      <c r="D61" s="5" t="s">
        <v>121</v>
      </c>
      <c r="E61" s="5" t="s">
        <v>57</v>
      </c>
      <c r="F61" s="5" t="s">
        <v>58</v>
      </c>
      <c r="G61" s="4" t="str">
        <f t="shared" si="0"/>
        <v>AR3160</v>
      </c>
    </row>
    <row r="62" spans="1:7" x14ac:dyDescent="0.25">
      <c r="A62" s="5">
        <v>2564</v>
      </c>
      <c r="B62" s="5">
        <v>3166</v>
      </c>
      <c r="C62" s="5" t="s">
        <v>122</v>
      </c>
      <c r="D62" s="5" t="s">
        <v>123</v>
      </c>
      <c r="E62" s="5" t="s">
        <v>57</v>
      </c>
      <c r="F62" s="5" t="s">
        <v>58</v>
      </c>
      <c r="G62" s="4" t="str">
        <f t="shared" si="0"/>
        <v>AR3166</v>
      </c>
    </row>
    <row r="63" spans="1:7" x14ac:dyDescent="0.25">
      <c r="A63" s="5">
        <v>2566</v>
      </c>
      <c r="B63" s="5">
        <v>3168</v>
      </c>
      <c r="C63" s="5" t="s">
        <v>124</v>
      </c>
      <c r="D63" s="5" t="s">
        <v>125</v>
      </c>
      <c r="E63" s="5" t="s">
        <v>57</v>
      </c>
      <c r="F63" s="5" t="s">
        <v>58</v>
      </c>
      <c r="G63" s="4" t="str">
        <f t="shared" si="0"/>
        <v>AR3168</v>
      </c>
    </row>
    <row r="64" spans="1:7" x14ac:dyDescent="0.25">
      <c r="A64" s="5">
        <v>2570</v>
      </c>
      <c r="B64" s="5">
        <v>3209</v>
      </c>
      <c r="C64" s="5" t="s">
        <v>126</v>
      </c>
      <c r="D64" s="5" t="s">
        <v>127</v>
      </c>
      <c r="E64" s="5" t="s">
        <v>57</v>
      </c>
      <c r="F64" s="5" t="s">
        <v>58</v>
      </c>
      <c r="G64" s="4" t="str">
        <f t="shared" si="0"/>
        <v>AR3209</v>
      </c>
    </row>
    <row r="65" spans="1:7" x14ac:dyDescent="0.25">
      <c r="A65" s="5">
        <v>2571</v>
      </c>
      <c r="B65" s="5">
        <v>3172</v>
      </c>
      <c r="C65" s="5" t="s">
        <v>128</v>
      </c>
      <c r="D65" s="5" t="s">
        <v>129</v>
      </c>
      <c r="E65" s="5" t="s">
        <v>57</v>
      </c>
      <c r="F65" s="5" t="s">
        <v>58</v>
      </c>
      <c r="G65" s="4" t="str">
        <f t="shared" si="0"/>
        <v>AR3172</v>
      </c>
    </row>
    <row r="66" spans="1:7" x14ac:dyDescent="0.25">
      <c r="A66" s="5">
        <v>2572</v>
      </c>
      <c r="B66" s="5">
        <v>3173</v>
      </c>
      <c r="C66" s="5" t="s">
        <v>130</v>
      </c>
      <c r="D66" s="5" t="s">
        <v>131</v>
      </c>
      <c r="E66" s="5" t="s">
        <v>57</v>
      </c>
      <c r="F66" s="5" t="s">
        <v>58</v>
      </c>
      <c r="G66" s="4" t="str">
        <f t="shared" si="0"/>
        <v>AR3173</v>
      </c>
    </row>
    <row r="67" spans="1:7" x14ac:dyDescent="0.25">
      <c r="A67" s="5">
        <v>2580</v>
      </c>
      <c r="B67" s="5">
        <v>3181</v>
      </c>
      <c r="C67" s="5" t="s">
        <v>132</v>
      </c>
      <c r="D67" s="5" t="s">
        <v>133</v>
      </c>
      <c r="E67" s="5" t="s">
        <v>57</v>
      </c>
      <c r="F67" s="5" t="s">
        <v>58</v>
      </c>
      <c r="G67" s="4" t="str">
        <f t="shared" ref="G67:G130" si="1">IF(LEN(B67)&gt;3,"AR"&amp;B67,"TBC")</f>
        <v>AR3181</v>
      </c>
    </row>
    <row r="68" spans="1:7" x14ac:dyDescent="0.25">
      <c r="A68" s="5">
        <v>2584</v>
      </c>
      <c r="B68" s="5">
        <v>3185</v>
      </c>
      <c r="C68" s="5" t="s">
        <v>134</v>
      </c>
      <c r="D68" s="5" t="s">
        <v>135</v>
      </c>
      <c r="E68" s="5" t="s">
        <v>57</v>
      </c>
      <c r="F68" s="5" t="s">
        <v>58</v>
      </c>
      <c r="G68" s="4" t="str">
        <f t="shared" si="1"/>
        <v>AR3185</v>
      </c>
    </row>
    <row r="69" spans="1:7" x14ac:dyDescent="0.25">
      <c r="A69" s="5">
        <v>2587</v>
      </c>
      <c r="B69" s="5">
        <v>3188</v>
      </c>
      <c r="C69" s="5" t="s">
        <v>136</v>
      </c>
      <c r="D69" s="5" t="s">
        <v>137</v>
      </c>
      <c r="E69" s="5" t="s">
        <v>57</v>
      </c>
      <c r="F69" s="5" t="s">
        <v>58</v>
      </c>
      <c r="G69" s="4" t="str">
        <f t="shared" si="1"/>
        <v>AR3188</v>
      </c>
    </row>
    <row r="70" spans="1:7" x14ac:dyDescent="0.25">
      <c r="A70" s="5">
        <v>2594</v>
      </c>
      <c r="B70" s="5">
        <v>3197</v>
      </c>
      <c r="C70" s="5" t="s">
        <v>138</v>
      </c>
      <c r="D70" s="5" t="s">
        <v>139</v>
      </c>
      <c r="E70" s="5" t="s">
        <v>57</v>
      </c>
      <c r="F70" s="5" t="s">
        <v>58</v>
      </c>
      <c r="G70" s="4" t="str">
        <f t="shared" si="1"/>
        <v>AR3197</v>
      </c>
    </row>
    <row r="71" spans="1:7" x14ac:dyDescent="0.25">
      <c r="A71" s="5">
        <v>2603</v>
      </c>
      <c r="B71" s="5">
        <v>3206</v>
      </c>
      <c r="C71" s="5" t="s">
        <v>140</v>
      </c>
      <c r="D71" s="5" t="s">
        <v>141</v>
      </c>
      <c r="E71" s="5" t="s">
        <v>57</v>
      </c>
      <c r="F71" s="5" t="s">
        <v>58</v>
      </c>
      <c r="G71" s="4" t="str">
        <f t="shared" si="1"/>
        <v>AR3206</v>
      </c>
    </row>
    <row r="72" spans="1:7" x14ac:dyDescent="0.25">
      <c r="A72" s="5">
        <v>2610</v>
      </c>
      <c r="B72" s="5">
        <v>3214</v>
      </c>
      <c r="C72" s="5" t="s">
        <v>142</v>
      </c>
      <c r="D72" s="5" t="s">
        <v>143</v>
      </c>
      <c r="E72" s="5" t="s">
        <v>57</v>
      </c>
      <c r="F72" s="5" t="s">
        <v>58</v>
      </c>
      <c r="G72" s="4" t="str">
        <f t="shared" si="1"/>
        <v>AR3214</v>
      </c>
    </row>
    <row r="73" spans="1:7" x14ac:dyDescent="0.25">
      <c r="A73" s="5">
        <v>2611</v>
      </c>
      <c r="B73" s="5">
        <v>3216</v>
      </c>
      <c r="C73" s="5" t="s">
        <v>144</v>
      </c>
      <c r="D73" s="5" t="s">
        <v>145</v>
      </c>
      <c r="E73" s="5" t="s">
        <v>57</v>
      </c>
      <c r="F73" s="5" t="s">
        <v>58</v>
      </c>
      <c r="G73" s="4" t="str">
        <f t="shared" si="1"/>
        <v>AR3216</v>
      </c>
    </row>
    <row r="74" spans="1:7" x14ac:dyDescent="0.25">
      <c r="A74" s="5">
        <v>2612</v>
      </c>
      <c r="B74" s="5">
        <v>3208</v>
      </c>
      <c r="C74" s="5" t="s">
        <v>146</v>
      </c>
      <c r="D74" s="5" t="s">
        <v>147</v>
      </c>
      <c r="E74" s="5" t="s">
        <v>57</v>
      </c>
      <c r="F74" s="5" t="s">
        <v>58</v>
      </c>
      <c r="G74" s="4" t="str">
        <f t="shared" si="1"/>
        <v>AR3208</v>
      </c>
    </row>
    <row r="75" spans="1:7" x14ac:dyDescent="0.25">
      <c r="A75" s="5">
        <v>2640</v>
      </c>
      <c r="B75" s="5">
        <v>3394</v>
      </c>
      <c r="C75" s="5" t="s">
        <v>148</v>
      </c>
      <c r="D75" s="5" t="s">
        <v>149</v>
      </c>
      <c r="E75" s="5" t="s">
        <v>57</v>
      </c>
      <c r="F75" s="5" t="s">
        <v>58</v>
      </c>
      <c r="G75" s="4" t="str">
        <f t="shared" si="1"/>
        <v>AR3394</v>
      </c>
    </row>
    <row r="76" spans="1:7" x14ac:dyDescent="0.25">
      <c r="A76" s="5">
        <v>2643</v>
      </c>
      <c r="B76" s="5">
        <v>3398</v>
      </c>
      <c r="C76" s="5" t="s">
        <v>150</v>
      </c>
      <c r="D76" s="5" t="s">
        <v>151</v>
      </c>
      <c r="E76" s="5" t="s">
        <v>57</v>
      </c>
      <c r="F76" s="5" t="s">
        <v>58</v>
      </c>
      <c r="G76" s="4" t="str">
        <f t="shared" si="1"/>
        <v>AR3398</v>
      </c>
    </row>
    <row r="77" spans="1:7" x14ac:dyDescent="0.25">
      <c r="A77" s="5">
        <v>2647</v>
      </c>
      <c r="B77" s="5">
        <v>3404</v>
      </c>
      <c r="C77" s="5" t="s">
        <v>152</v>
      </c>
      <c r="D77" s="5" t="s">
        <v>153</v>
      </c>
      <c r="E77" s="5" t="s">
        <v>57</v>
      </c>
      <c r="F77" s="5" t="s">
        <v>58</v>
      </c>
      <c r="G77" s="4" t="str">
        <f t="shared" si="1"/>
        <v>AR3404</v>
      </c>
    </row>
    <row r="78" spans="1:7" x14ac:dyDescent="0.25">
      <c r="A78" s="5">
        <v>2648</v>
      </c>
      <c r="B78" s="5">
        <v>3409</v>
      </c>
      <c r="C78" s="5" t="s">
        <v>332</v>
      </c>
      <c r="D78" s="5" t="s">
        <v>333</v>
      </c>
      <c r="E78" s="5" t="s">
        <v>57</v>
      </c>
      <c r="F78" s="5" t="s">
        <v>58</v>
      </c>
      <c r="G78" s="4" t="str">
        <f t="shared" si="1"/>
        <v>AR3409</v>
      </c>
    </row>
    <row r="79" spans="1:7" x14ac:dyDescent="0.25">
      <c r="A79" s="5">
        <v>2656</v>
      </c>
      <c r="B79" s="5">
        <v>3415</v>
      </c>
      <c r="C79" s="5" t="s">
        <v>154</v>
      </c>
      <c r="D79" s="5" t="s">
        <v>115</v>
      </c>
      <c r="E79" s="5" t="s">
        <v>57</v>
      </c>
      <c r="F79" s="5" t="s">
        <v>58</v>
      </c>
      <c r="G79" s="4" t="str">
        <f t="shared" si="1"/>
        <v>AR3415</v>
      </c>
    </row>
    <row r="80" spans="1:7" x14ac:dyDescent="0.25">
      <c r="A80" s="5">
        <v>2658</v>
      </c>
      <c r="B80" s="5">
        <v>3418</v>
      </c>
      <c r="C80" s="5" t="s">
        <v>155</v>
      </c>
      <c r="D80" s="5" t="s">
        <v>115</v>
      </c>
      <c r="E80" s="5" t="s">
        <v>57</v>
      </c>
      <c r="F80" s="5" t="s">
        <v>58</v>
      </c>
      <c r="G80" s="4" t="str">
        <f t="shared" si="1"/>
        <v>AR3418</v>
      </c>
    </row>
    <row r="81" spans="1:7" x14ac:dyDescent="0.25">
      <c r="A81" s="5">
        <v>2659</v>
      </c>
      <c r="B81" s="5">
        <v>3419</v>
      </c>
      <c r="C81" s="5" t="s">
        <v>156</v>
      </c>
      <c r="D81" s="5" t="s">
        <v>115</v>
      </c>
      <c r="E81" s="5" t="s">
        <v>57</v>
      </c>
      <c r="F81" s="5" t="s">
        <v>58</v>
      </c>
      <c r="G81" s="4" t="str">
        <f t="shared" si="1"/>
        <v>AR3419</v>
      </c>
    </row>
    <row r="82" spans="1:7" x14ac:dyDescent="0.25">
      <c r="A82" s="5">
        <v>2660</v>
      </c>
      <c r="B82" s="5">
        <v>3420</v>
      </c>
      <c r="C82" s="5" t="s">
        <v>157</v>
      </c>
      <c r="D82" s="5" t="s">
        <v>115</v>
      </c>
      <c r="E82" s="5" t="s">
        <v>57</v>
      </c>
      <c r="F82" s="5" t="s">
        <v>58</v>
      </c>
      <c r="G82" s="4" t="str">
        <f t="shared" si="1"/>
        <v>AR3420</v>
      </c>
    </row>
    <row r="83" spans="1:7" x14ac:dyDescent="0.25">
      <c r="A83" s="5">
        <v>2711</v>
      </c>
      <c r="B83" s="5">
        <v>3509</v>
      </c>
      <c r="C83" s="5" t="s">
        <v>158</v>
      </c>
      <c r="D83" s="5" t="s">
        <v>159</v>
      </c>
      <c r="E83" s="5" t="s">
        <v>57</v>
      </c>
      <c r="F83" s="5" t="s">
        <v>58</v>
      </c>
      <c r="G83" s="4" t="str">
        <f t="shared" si="1"/>
        <v>AR3509</v>
      </c>
    </row>
    <row r="84" spans="1:7" x14ac:dyDescent="0.25">
      <c r="A84" s="5">
        <v>2713</v>
      </c>
      <c r="B84" s="5">
        <v>3511</v>
      </c>
      <c r="C84" s="5" t="s">
        <v>160</v>
      </c>
      <c r="D84" s="5" t="s">
        <v>159</v>
      </c>
      <c r="E84" s="5" t="s">
        <v>57</v>
      </c>
      <c r="F84" s="5" t="s">
        <v>58</v>
      </c>
      <c r="G84" s="4" t="str">
        <f t="shared" si="1"/>
        <v>AR3511</v>
      </c>
    </row>
    <row r="85" spans="1:7" x14ac:dyDescent="0.25">
      <c r="A85" s="5">
        <v>2727</v>
      </c>
      <c r="B85" s="5">
        <v>3545</v>
      </c>
      <c r="C85" s="5" t="s">
        <v>161</v>
      </c>
      <c r="D85" s="5" t="s">
        <v>162</v>
      </c>
      <c r="E85" s="5" t="s">
        <v>57</v>
      </c>
      <c r="F85" s="5" t="s">
        <v>58</v>
      </c>
      <c r="G85" s="4" t="str">
        <f t="shared" si="1"/>
        <v>AR3545</v>
      </c>
    </row>
    <row r="86" spans="1:7" x14ac:dyDescent="0.25">
      <c r="A86" s="5">
        <v>2733</v>
      </c>
      <c r="B86" s="5">
        <v>3550</v>
      </c>
      <c r="C86" s="5" t="s">
        <v>163</v>
      </c>
      <c r="D86" s="5" t="s">
        <v>164</v>
      </c>
      <c r="E86" s="5" t="s">
        <v>57</v>
      </c>
      <c r="F86" s="5" t="s">
        <v>58</v>
      </c>
      <c r="G86" s="4" t="str">
        <f t="shared" si="1"/>
        <v>AR3550</v>
      </c>
    </row>
    <row r="87" spans="1:7" x14ac:dyDescent="0.25">
      <c r="A87" s="5">
        <v>2933</v>
      </c>
      <c r="B87" s="5">
        <v>6182</v>
      </c>
      <c r="C87" s="5" t="s">
        <v>165</v>
      </c>
      <c r="D87" s="5" t="s">
        <v>166</v>
      </c>
      <c r="E87" s="5" t="s">
        <v>9</v>
      </c>
      <c r="F87" s="5" t="s">
        <v>83</v>
      </c>
      <c r="G87" s="4" t="str">
        <f t="shared" si="1"/>
        <v>AR6182</v>
      </c>
    </row>
    <row r="88" spans="1:7" x14ac:dyDescent="0.25">
      <c r="A88" s="5">
        <v>2993</v>
      </c>
      <c r="B88" s="5">
        <v>6379</v>
      </c>
      <c r="C88" s="5" t="s">
        <v>167</v>
      </c>
      <c r="D88" s="5" t="s">
        <v>168</v>
      </c>
      <c r="E88" s="5" t="s">
        <v>9</v>
      </c>
      <c r="F88" s="5" t="s">
        <v>83</v>
      </c>
      <c r="G88" s="4" t="str">
        <f t="shared" si="1"/>
        <v>AR6379</v>
      </c>
    </row>
    <row r="89" spans="1:7" x14ac:dyDescent="0.25">
      <c r="A89" s="5">
        <v>2994</v>
      </c>
      <c r="B89" s="5">
        <v>6380</v>
      </c>
      <c r="C89" s="5" t="s">
        <v>169</v>
      </c>
      <c r="D89" s="5" t="s">
        <v>170</v>
      </c>
      <c r="E89" s="5" t="s">
        <v>9</v>
      </c>
      <c r="F89" s="5" t="s">
        <v>83</v>
      </c>
      <c r="G89" s="4" t="str">
        <f t="shared" si="1"/>
        <v>AR6380</v>
      </c>
    </row>
    <row r="90" spans="1:7" x14ac:dyDescent="0.25">
      <c r="A90" s="5">
        <v>3017</v>
      </c>
      <c r="B90" s="5">
        <v>6230</v>
      </c>
      <c r="C90" s="5" t="s">
        <v>171</v>
      </c>
      <c r="D90" s="5" t="s">
        <v>172</v>
      </c>
      <c r="E90" s="5" t="s">
        <v>9</v>
      </c>
      <c r="F90" s="5" t="s">
        <v>83</v>
      </c>
      <c r="G90" s="4" t="str">
        <f t="shared" si="1"/>
        <v>AR6230</v>
      </c>
    </row>
    <row r="91" spans="1:7" x14ac:dyDescent="0.25">
      <c r="A91" s="5">
        <v>3085</v>
      </c>
      <c r="B91" s="5">
        <v>8445</v>
      </c>
      <c r="C91" s="5" t="s">
        <v>173</v>
      </c>
      <c r="D91" s="5" t="s">
        <v>174</v>
      </c>
      <c r="E91" s="5" t="s">
        <v>26</v>
      </c>
      <c r="F91" s="5" t="s">
        <v>175</v>
      </c>
      <c r="G91" s="4" t="str">
        <f t="shared" si="1"/>
        <v>AR8445</v>
      </c>
    </row>
    <row r="92" spans="1:7" x14ac:dyDescent="0.25">
      <c r="A92" s="5">
        <v>3098</v>
      </c>
      <c r="B92" s="5">
        <v>8463</v>
      </c>
      <c r="C92" s="5" t="s">
        <v>176</v>
      </c>
      <c r="D92" s="5" t="s">
        <v>177</v>
      </c>
      <c r="E92" s="5" t="s">
        <v>26</v>
      </c>
      <c r="F92" s="5" t="s">
        <v>175</v>
      </c>
      <c r="G92" s="4" t="str">
        <f t="shared" si="1"/>
        <v>AR8463</v>
      </c>
    </row>
    <row r="93" spans="1:7" x14ac:dyDescent="0.25">
      <c r="A93" s="5">
        <v>3152</v>
      </c>
      <c r="B93" s="5">
        <v>8492</v>
      </c>
      <c r="C93" s="5" t="s">
        <v>178</v>
      </c>
      <c r="D93" s="5" t="s">
        <v>179</v>
      </c>
      <c r="E93" s="5" t="s">
        <v>26</v>
      </c>
      <c r="F93" s="5" t="s">
        <v>175</v>
      </c>
      <c r="G93" s="4" t="str">
        <f t="shared" si="1"/>
        <v>AR8492</v>
      </c>
    </row>
    <row r="94" spans="1:7" x14ac:dyDescent="0.25">
      <c r="A94" s="5">
        <v>3169</v>
      </c>
      <c r="B94" s="5">
        <v>8514</v>
      </c>
      <c r="C94" s="5" t="s">
        <v>341</v>
      </c>
      <c r="D94" s="5">
        <v>0</v>
      </c>
      <c r="E94" s="5" t="s">
        <v>26</v>
      </c>
      <c r="F94" s="5" t="s">
        <v>175</v>
      </c>
      <c r="G94" s="4" t="str">
        <f t="shared" si="1"/>
        <v>AR8514</v>
      </c>
    </row>
    <row r="95" spans="1:7" x14ac:dyDescent="0.25">
      <c r="A95" s="5">
        <v>3172</v>
      </c>
      <c r="B95" s="5">
        <v>8517</v>
      </c>
      <c r="C95" s="5" t="s">
        <v>180</v>
      </c>
      <c r="D95" s="5" t="s">
        <v>181</v>
      </c>
      <c r="E95" s="5" t="s">
        <v>26</v>
      </c>
      <c r="F95" s="5" t="s">
        <v>175</v>
      </c>
      <c r="G95" s="4" t="str">
        <f t="shared" si="1"/>
        <v>AR8517</v>
      </c>
    </row>
    <row r="96" spans="1:7" x14ac:dyDescent="0.25">
      <c r="A96" s="5">
        <v>3175</v>
      </c>
      <c r="B96" s="5">
        <v>8520</v>
      </c>
      <c r="C96" s="5" t="s">
        <v>182</v>
      </c>
      <c r="D96" s="5" t="s">
        <v>183</v>
      </c>
      <c r="E96" s="5" t="s">
        <v>26</v>
      </c>
      <c r="F96" s="5" t="s">
        <v>175</v>
      </c>
      <c r="G96" s="4" t="str">
        <f t="shared" si="1"/>
        <v>AR8520</v>
      </c>
    </row>
    <row r="97" spans="1:7" x14ac:dyDescent="0.25">
      <c r="A97" s="5">
        <v>3208</v>
      </c>
      <c r="B97" s="5">
        <v>9481</v>
      </c>
      <c r="C97" s="5" t="s">
        <v>184</v>
      </c>
      <c r="D97" s="5" t="s">
        <v>185</v>
      </c>
      <c r="E97" s="5" t="s">
        <v>57</v>
      </c>
      <c r="F97" s="5" t="s">
        <v>186</v>
      </c>
      <c r="G97" s="4" t="str">
        <f t="shared" si="1"/>
        <v>AR9481</v>
      </c>
    </row>
    <row r="98" spans="1:7" x14ac:dyDescent="0.25">
      <c r="A98" s="5">
        <v>3318</v>
      </c>
      <c r="B98" s="5">
        <v>3615</v>
      </c>
      <c r="C98" s="5" t="s">
        <v>187</v>
      </c>
      <c r="D98" s="5" t="s">
        <v>188</v>
      </c>
      <c r="E98" s="5" t="s">
        <v>57</v>
      </c>
      <c r="F98" s="5" t="s">
        <v>186</v>
      </c>
      <c r="G98" s="4" t="str">
        <f t="shared" si="1"/>
        <v>AR3615</v>
      </c>
    </row>
    <row r="99" spans="1:7" x14ac:dyDescent="0.25">
      <c r="A99" s="5">
        <v>3326</v>
      </c>
      <c r="B99" s="5">
        <v>3624</v>
      </c>
      <c r="C99" s="5" t="s">
        <v>189</v>
      </c>
      <c r="D99" s="5" t="s">
        <v>190</v>
      </c>
      <c r="E99" s="5" t="s">
        <v>57</v>
      </c>
      <c r="F99" s="5" t="s">
        <v>186</v>
      </c>
      <c r="G99" s="4" t="str">
        <f t="shared" si="1"/>
        <v>AR3624</v>
      </c>
    </row>
    <row r="100" spans="1:7" x14ac:dyDescent="0.25">
      <c r="A100" s="5">
        <v>3333</v>
      </c>
      <c r="B100" s="5">
        <v>3632</v>
      </c>
      <c r="C100" s="85" t="s">
        <v>4398</v>
      </c>
      <c r="D100" s="5" t="s">
        <v>191</v>
      </c>
      <c r="E100" s="5" t="s">
        <v>57</v>
      </c>
      <c r="F100" s="5" t="s">
        <v>186</v>
      </c>
      <c r="G100" s="4" t="str">
        <f t="shared" si="1"/>
        <v>AR3632</v>
      </c>
    </row>
    <row r="101" spans="1:7" x14ac:dyDescent="0.25">
      <c r="A101" s="5">
        <v>3334</v>
      </c>
      <c r="B101" s="5">
        <v>3633</v>
      </c>
      <c r="C101" s="5" t="s">
        <v>192</v>
      </c>
      <c r="D101" s="5" t="s">
        <v>193</v>
      </c>
      <c r="E101" s="5" t="s">
        <v>57</v>
      </c>
      <c r="F101" s="5" t="s">
        <v>186</v>
      </c>
      <c r="G101" s="4" t="str">
        <f t="shared" si="1"/>
        <v>AR3633</v>
      </c>
    </row>
    <row r="102" spans="1:7" x14ac:dyDescent="0.25">
      <c r="A102" s="5">
        <v>3340</v>
      </c>
      <c r="B102" s="5">
        <v>3642</v>
      </c>
      <c r="C102" s="5" t="s">
        <v>194</v>
      </c>
      <c r="D102" s="5" t="s">
        <v>195</v>
      </c>
      <c r="E102" s="5" t="s">
        <v>57</v>
      </c>
      <c r="F102" s="5" t="s">
        <v>186</v>
      </c>
      <c r="G102" s="4" t="str">
        <f t="shared" si="1"/>
        <v>AR3642</v>
      </c>
    </row>
    <row r="103" spans="1:7" x14ac:dyDescent="0.25">
      <c r="A103" s="5">
        <v>3345</v>
      </c>
      <c r="B103" s="5">
        <v>3644</v>
      </c>
      <c r="C103" s="5" t="s">
        <v>196</v>
      </c>
      <c r="D103" s="5" t="s">
        <v>197</v>
      </c>
      <c r="E103" s="5" t="s">
        <v>57</v>
      </c>
      <c r="F103" s="5" t="s">
        <v>186</v>
      </c>
      <c r="G103" s="4" t="str">
        <f t="shared" si="1"/>
        <v>AR3644</v>
      </c>
    </row>
    <row r="104" spans="1:7" x14ac:dyDescent="0.25">
      <c r="A104" s="5">
        <v>3414</v>
      </c>
      <c r="B104" s="5">
        <v>3715</v>
      </c>
      <c r="C104" s="5" t="s">
        <v>198</v>
      </c>
      <c r="D104" s="5" t="s">
        <v>199</v>
      </c>
      <c r="E104" s="5" t="s">
        <v>57</v>
      </c>
      <c r="F104" s="5" t="s">
        <v>186</v>
      </c>
      <c r="G104" s="4" t="str">
        <f t="shared" si="1"/>
        <v>AR3715</v>
      </c>
    </row>
    <row r="105" spans="1:7" x14ac:dyDescent="0.25">
      <c r="A105" s="5">
        <v>3418</v>
      </c>
      <c r="B105" s="5">
        <v>3704</v>
      </c>
      <c r="C105" s="5" t="s">
        <v>200</v>
      </c>
      <c r="D105" s="5" t="s">
        <v>201</v>
      </c>
      <c r="E105" s="5" t="s">
        <v>57</v>
      </c>
      <c r="F105" s="5" t="s">
        <v>186</v>
      </c>
      <c r="G105" s="4" t="str">
        <f t="shared" si="1"/>
        <v>AR3704</v>
      </c>
    </row>
    <row r="106" spans="1:7" x14ac:dyDescent="0.25">
      <c r="A106" s="5">
        <v>3442</v>
      </c>
      <c r="B106" s="5">
        <v>6527</v>
      </c>
      <c r="C106" s="5" t="s">
        <v>202</v>
      </c>
      <c r="D106" s="5" t="s">
        <v>203</v>
      </c>
      <c r="E106" s="5" t="s">
        <v>9</v>
      </c>
      <c r="F106" s="5" t="s">
        <v>83</v>
      </c>
      <c r="G106" s="4" t="str">
        <f t="shared" si="1"/>
        <v>AR6527</v>
      </c>
    </row>
    <row r="107" spans="1:7" x14ac:dyDescent="0.25">
      <c r="A107" s="5">
        <v>3513</v>
      </c>
      <c r="B107" s="5">
        <v>6413</v>
      </c>
      <c r="C107" s="5" t="s">
        <v>204</v>
      </c>
      <c r="D107" s="5" t="s">
        <v>205</v>
      </c>
      <c r="E107" s="5" t="s">
        <v>9</v>
      </c>
      <c r="F107" s="5" t="s">
        <v>83</v>
      </c>
      <c r="G107" s="4" t="str">
        <f t="shared" si="1"/>
        <v>AR6413</v>
      </c>
    </row>
    <row r="108" spans="1:7" x14ac:dyDescent="0.25">
      <c r="A108" s="5">
        <v>3539</v>
      </c>
      <c r="B108" s="5">
        <v>6440</v>
      </c>
      <c r="C108" s="5" t="s">
        <v>206</v>
      </c>
      <c r="D108" s="5" t="s">
        <v>207</v>
      </c>
      <c r="E108" s="5" t="s">
        <v>9</v>
      </c>
      <c r="F108" s="5" t="s">
        <v>83</v>
      </c>
      <c r="G108" s="4" t="str">
        <f t="shared" si="1"/>
        <v>AR6440</v>
      </c>
    </row>
    <row r="109" spans="1:7" x14ac:dyDescent="0.25">
      <c r="A109" s="5">
        <v>3541</v>
      </c>
      <c r="B109" s="5">
        <v>6443</v>
      </c>
      <c r="C109" s="5" t="s">
        <v>208</v>
      </c>
      <c r="D109" s="5" t="s">
        <v>209</v>
      </c>
      <c r="E109" s="5" t="s">
        <v>9</v>
      </c>
      <c r="F109" s="5" t="s">
        <v>83</v>
      </c>
      <c r="G109" s="4" t="str">
        <f t="shared" si="1"/>
        <v>AR6443</v>
      </c>
    </row>
    <row r="110" spans="1:7" x14ac:dyDescent="0.25">
      <c r="A110" s="5">
        <v>3542</v>
      </c>
      <c r="B110" s="5">
        <v>6444</v>
      </c>
      <c r="C110" s="5" t="s">
        <v>210</v>
      </c>
      <c r="D110" s="5" t="s">
        <v>211</v>
      </c>
      <c r="E110" s="5" t="s">
        <v>9</v>
      </c>
      <c r="F110" s="5" t="s">
        <v>83</v>
      </c>
      <c r="G110" s="4" t="str">
        <f t="shared" si="1"/>
        <v>AR6444</v>
      </c>
    </row>
    <row r="111" spans="1:7" x14ac:dyDescent="0.25">
      <c r="A111" s="5">
        <v>3574</v>
      </c>
      <c r="B111" s="5">
        <v>6477</v>
      </c>
      <c r="C111" s="5" t="s">
        <v>212</v>
      </c>
      <c r="D111" s="5" t="s">
        <v>213</v>
      </c>
      <c r="E111" s="5" t="s">
        <v>9</v>
      </c>
      <c r="F111" s="5" t="s">
        <v>83</v>
      </c>
      <c r="G111" s="4" t="str">
        <f t="shared" si="1"/>
        <v>AR6477</v>
      </c>
    </row>
    <row r="112" spans="1:7" x14ac:dyDescent="0.25">
      <c r="A112" s="5">
        <v>3720</v>
      </c>
      <c r="B112" s="5">
        <v>3967</v>
      </c>
      <c r="C112" s="5" t="s">
        <v>214</v>
      </c>
      <c r="D112" s="5" t="s">
        <v>215</v>
      </c>
      <c r="E112" s="5" t="s">
        <v>57</v>
      </c>
      <c r="F112" s="5" t="s">
        <v>186</v>
      </c>
      <c r="G112" s="4" t="str">
        <f t="shared" si="1"/>
        <v>AR3967</v>
      </c>
    </row>
    <row r="113" spans="1:7" x14ac:dyDescent="0.25">
      <c r="A113" s="5">
        <v>3748</v>
      </c>
      <c r="B113" s="5">
        <v>3993</v>
      </c>
      <c r="C113" s="5" t="s">
        <v>216</v>
      </c>
      <c r="D113" s="5" t="s">
        <v>217</v>
      </c>
      <c r="E113" s="5" t="s">
        <v>57</v>
      </c>
      <c r="F113" s="5" t="s">
        <v>186</v>
      </c>
      <c r="G113" s="4" t="str">
        <f t="shared" si="1"/>
        <v>AR3993</v>
      </c>
    </row>
    <row r="114" spans="1:7" x14ac:dyDescent="0.25">
      <c r="A114" s="5">
        <v>3945</v>
      </c>
      <c r="B114" s="5">
        <v>7030</v>
      </c>
      <c r="C114" s="5" t="s">
        <v>326</v>
      </c>
      <c r="D114" s="5">
        <v>0</v>
      </c>
      <c r="E114" s="5" t="s">
        <v>220</v>
      </c>
      <c r="F114" s="5" t="s">
        <v>221</v>
      </c>
      <c r="G114" s="4" t="str">
        <f t="shared" si="1"/>
        <v>AR7030</v>
      </c>
    </row>
    <row r="115" spans="1:7" x14ac:dyDescent="0.25">
      <c r="A115" s="5">
        <v>3959</v>
      </c>
      <c r="B115" s="5">
        <v>7075</v>
      </c>
      <c r="C115" s="5" t="s">
        <v>218</v>
      </c>
      <c r="D115" s="5" t="s">
        <v>219</v>
      </c>
      <c r="E115" s="5" t="s">
        <v>220</v>
      </c>
      <c r="F115" s="5" t="s">
        <v>221</v>
      </c>
      <c r="G115" s="4" t="str">
        <f t="shared" si="1"/>
        <v>AR7075</v>
      </c>
    </row>
    <row r="116" spans="1:7" x14ac:dyDescent="0.25">
      <c r="A116" s="5">
        <v>3977</v>
      </c>
      <c r="B116" s="5">
        <v>7103</v>
      </c>
      <c r="C116" s="5" t="s">
        <v>222</v>
      </c>
      <c r="D116" s="5" t="s">
        <v>223</v>
      </c>
      <c r="E116" s="5" t="s">
        <v>220</v>
      </c>
      <c r="F116" s="5" t="s">
        <v>221</v>
      </c>
      <c r="G116" s="4" t="str">
        <f t="shared" si="1"/>
        <v>AR7103</v>
      </c>
    </row>
    <row r="117" spans="1:7" x14ac:dyDescent="0.25">
      <c r="A117" s="5">
        <v>4053</v>
      </c>
      <c r="B117" s="5">
        <v>7258</v>
      </c>
      <c r="C117" s="5" t="s">
        <v>324</v>
      </c>
      <c r="D117" s="5" t="s">
        <v>325</v>
      </c>
      <c r="E117" s="5" t="s">
        <v>220</v>
      </c>
      <c r="F117" s="5">
        <v>0</v>
      </c>
      <c r="G117" s="4" t="str">
        <f t="shared" si="1"/>
        <v>AR7258</v>
      </c>
    </row>
    <row r="118" spans="1:7" x14ac:dyDescent="0.25">
      <c r="A118" s="5">
        <v>4058</v>
      </c>
      <c r="B118" s="5">
        <v>7284</v>
      </c>
      <c r="C118" s="5" t="s">
        <v>224</v>
      </c>
      <c r="D118" s="5" t="s">
        <v>225</v>
      </c>
      <c r="E118" s="5" t="s">
        <v>220</v>
      </c>
      <c r="F118" s="5" t="s">
        <v>221</v>
      </c>
      <c r="G118" s="4" t="str">
        <f t="shared" si="1"/>
        <v>AR7284</v>
      </c>
    </row>
    <row r="119" spans="1:7" x14ac:dyDescent="0.25">
      <c r="A119" s="26">
        <v>4219</v>
      </c>
      <c r="B119" s="5">
        <v>7430</v>
      </c>
      <c r="C119" s="5" t="s">
        <v>226</v>
      </c>
      <c r="D119" s="5" t="s">
        <v>227</v>
      </c>
      <c r="E119" s="5" t="s">
        <v>220</v>
      </c>
      <c r="F119" s="5" t="s">
        <v>228</v>
      </c>
      <c r="G119" s="4" t="str">
        <f t="shared" si="1"/>
        <v>AR7430</v>
      </c>
    </row>
    <row r="120" spans="1:7" x14ac:dyDescent="0.25">
      <c r="A120" s="5">
        <v>4267</v>
      </c>
      <c r="B120" s="5">
        <v>7468</v>
      </c>
      <c r="C120" s="5" t="s">
        <v>229</v>
      </c>
      <c r="D120" s="5" t="s">
        <v>230</v>
      </c>
      <c r="E120" s="5" t="s">
        <v>220</v>
      </c>
      <c r="F120" s="5" t="s">
        <v>228</v>
      </c>
      <c r="G120" s="4" t="str">
        <f t="shared" si="1"/>
        <v>AR7468</v>
      </c>
    </row>
    <row r="121" spans="1:7" x14ac:dyDescent="0.25">
      <c r="A121" s="5">
        <v>4309</v>
      </c>
      <c r="B121" s="5">
        <v>4198</v>
      </c>
      <c r="C121" s="5" t="s">
        <v>231</v>
      </c>
      <c r="D121" s="5" t="s">
        <v>232</v>
      </c>
      <c r="E121" s="5" t="s">
        <v>57</v>
      </c>
      <c r="F121" s="5" t="s">
        <v>233</v>
      </c>
      <c r="G121" s="4" t="str">
        <f t="shared" si="1"/>
        <v>AR4198</v>
      </c>
    </row>
    <row r="122" spans="1:7" x14ac:dyDescent="0.25">
      <c r="A122" s="5">
        <v>4338</v>
      </c>
      <c r="B122" s="5">
        <v>4101</v>
      </c>
      <c r="C122" s="5" t="s">
        <v>234</v>
      </c>
      <c r="D122" s="5" t="s">
        <v>235</v>
      </c>
      <c r="E122" s="5" t="s">
        <v>57</v>
      </c>
      <c r="F122" s="5" t="s">
        <v>233</v>
      </c>
      <c r="G122" s="4" t="str">
        <f t="shared" si="1"/>
        <v>AR4101</v>
      </c>
    </row>
    <row r="123" spans="1:7" x14ac:dyDescent="0.25">
      <c r="A123" s="5">
        <v>4397</v>
      </c>
      <c r="B123" s="5">
        <v>4080</v>
      </c>
      <c r="C123" s="5" t="s">
        <v>236</v>
      </c>
      <c r="D123" s="5" t="s">
        <v>237</v>
      </c>
      <c r="E123" s="5" t="s">
        <v>57</v>
      </c>
      <c r="F123" s="5" t="s">
        <v>233</v>
      </c>
      <c r="G123" s="4" t="str">
        <f t="shared" si="1"/>
        <v>AR4080</v>
      </c>
    </row>
    <row r="124" spans="1:7" x14ac:dyDescent="0.25">
      <c r="A124" s="5">
        <v>4487</v>
      </c>
      <c r="B124" s="5">
        <v>6591</v>
      </c>
      <c r="C124" s="5" t="s">
        <v>238</v>
      </c>
      <c r="D124" s="5" t="s">
        <v>239</v>
      </c>
      <c r="E124" s="5" t="s">
        <v>9</v>
      </c>
      <c r="F124" s="5" t="s">
        <v>10</v>
      </c>
      <c r="G124" s="4" t="str">
        <f t="shared" si="1"/>
        <v>AR6591</v>
      </c>
    </row>
    <row r="125" spans="1:7" x14ac:dyDescent="0.25">
      <c r="A125" s="5">
        <v>4585</v>
      </c>
      <c r="B125" s="5">
        <v>6599</v>
      </c>
      <c r="C125" s="5" t="s">
        <v>240</v>
      </c>
      <c r="D125" s="5" t="s">
        <v>241</v>
      </c>
      <c r="E125" s="5" t="s">
        <v>9</v>
      </c>
      <c r="F125" s="5" t="s">
        <v>10</v>
      </c>
      <c r="G125" s="4" t="str">
        <f t="shared" si="1"/>
        <v>AR6599</v>
      </c>
    </row>
    <row r="126" spans="1:7" x14ac:dyDescent="0.25">
      <c r="A126" s="5">
        <v>4752</v>
      </c>
      <c r="B126" s="5">
        <v>7665</v>
      </c>
      <c r="C126" s="5" t="s">
        <v>242</v>
      </c>
      <c r="D126" s="5" t="s">
        <v>243</v>
      </c>
      <c r="E126" s="5" t="s">
        <v>220</v>
      </c>
      <c r="F126" s="5" t="s">
        <v>244</v>
      </c>
      <c r="G126" s="4" t="str">
        <f t="shared" si="1"/>
        <v>AR7665</v>
      </c>
    </row>
    <row r="127" spans="1:7" x14ac:dyDescent="0.25">
      <c r="A127" s="5">
        <v>4770</v>
      </c>
      <c r="B127" s="5">
        <v>7698</v>
      </c>
      <c r="C127" s="5" t="s">
        <v>245</v>
      </c>
      <c r="D127" s="5" t="s">
        <v>246</v>
      </c>
      <c r="E127" s="5" t="s">
        <v>220</v>
      </c>
      <c r="F127" s="5" t="s">
        <v>244</v>
      </c>
      <c r="G127" s="4" t="str">
        <f t="shared" si="1"/>
        <v>AR7698</v>
      </c>
    </row>
    <row r="128" spans="1:7" x14ac:dyDescent="0.25">
      <c r="A128" s="5">
        <v>4801</v>
      </c>
      <c r="B128" s="5">
        <v>7829</v>
      </c>
      <c r="C128" s="5" t="s">
        <v>247</v>
      </c>
      <c r="D128" s="5" t="s">
        <v>248</v>
      </c>
      <c r="E128" s="5" t="s">
        <v>220</v>
      </c>
      <c r="F128" s="5" t="s">
        <v>244</v>
      </c>
      <c r="G128" s="4" t="str">
        <f t="shared" si="1"/>
        <v>AR7829</v>
      </c>
    </row>
    <row r="129" spans="1:7" x14ac:dyDescent="0.25">
      <c r="A129" s="5">
        <v>4925</v>
      </c>
      <c r="B129" s="5">
        <v>4233</v>
      </c>
      <c r="C129" s="5" t="s">
        <v>249</v>
      </c>
      <c r="D129" s="5" t="s">
        <v>250</v>
      </c>
      <c r="E129" s="5" t="s">
        <v>57</v>
      </c>
      <c r="F129" s="5" t="s">
        <v>233</v>
      </c>
      <c r="G129" s="4" t="str">
        <f t="shared" si="1"/>
        <v>AR4233</v>
      </c>
    </row>
    <row r="130" spans="1:7" x14ac:dyDescent="0.25">
      <c r="A130" s="5">
        <v>4951</v>
      </c>
      <c r="B130" s="5">
        <v>4287</v>
      </c>
      <c r="C130" s="5" t="s">
        <v>251</v>
      </c>
      <c r="D130" s="5" t="s">
        <v>252</v>
      </c>
      <c r="E130" s="5" t="s">
        <v>57</v>
      </c>
      <c r="F130" s="5" t="s">
        <v>233</v>
      </c>
      <c r="G130" s="4" t="str">
        <f t="shared" si="1"/>
        <v>AR4287</v>
      </c>
    </row>
    <row r="131" spans="1:7" x14ac:dyDescent="0.25">
      <c r="A131" s="5">
        <v>4966</v>
      </c>
      <c r="B131" s="5">
        <v>4301</v>
      </c>
      <c r="C131" s="85" t="s">
        <v>4400</v>
      </c>
      <c r="D131" s="5" t="s">
        <v>254</v>
      </c>
      <c r="E131" s="5" t="s">
        <v>57</v>
      </c>
      <c r="F131" s="5" t="s">
        <v>233</v>
      </c>
      <c r="G131" s="4" t="str">
        <f t="shared" ref="G131:G193" si="2">IF(LEN(B131)&gt;3,"AR"&amp;B131,"TBC")</f>
        <v>AR4301</v>
      </c>
    </row>
    <row r="132" spans="1:7" x14ac:dyDescent="0.25">
      <c r="A132" s="5">
        <v>4979</v>
      </c>
      <c r="B132" s="5">
        <v>4325</v>
      </c>
      <c r="C132" s="5" t="s">
        <v>255</v>
      </c>
      <c r="D132" s="5" t="s">
        <v>256</v>
      </c>
      <c r="E132" s="5" t="s">
        <v>57</v>
      </c>
      <c r="F132" s="5" t="s">
        <v>233</v>
      </c>
      <c r="G132" s="4" t="str">
        <f t="shared" si="2"/>
        <v>AR4325</v>
      </c>
    </row>
    <row r="133" spans="1:7" x14ac:dyDescent="0.25">
      <c r="A133" s="5">
        <v>4991</v>
      </c>
      <c r="B133" s="5">
        <v>4353</v>
      </c>
      <c r="C133" s="5" t="s">
        <v>257</v>
      </c>
      <c r="D133" s="5" t="s">
        <v>258</v>
      </c>
      <c r="E133" s="5" t="s">
        <v>57</v>
      </c>
      <c r="F133" s="5" t="s">
        <v>233</v>
      </c>
      <c r="G133" s="4" t="str">
        <f t="shared" si="2"/>
        <v>AR4353</v>
      </c>
    </row>
    <row r="134" spans="1:7" x14ac:dyDescent="0.25">
      <c r="A134" s="5">
        <v>5135</v>
      </c>
      <c r="B134" s="5">
        <v>8656</v>
      </c>
      <c r="C134" s="5" t="s">
        <v>259</v>
      </c>
      <c r="D134" s="5" t="s">
        <v>260</v>
      </c>
      <c r="E134" s="5" t="s">
        <v>26</v>
      </c>
      <c r="F134" s="5" t="s">
        <v>175</v>
      </c>
      <c r="G134" s="4" t="str">
        <f t="shared" si="2"/>
        <v>AR8656</v>
      </c>
    </row>
    <row r="135" spans="1:7" x14ac:dyDescent="0.25">
      <c r="A135" s="5">
        <v>5150</v>
      </c>
      <c r="B135" s="5">
        <v>8653</v>
      </c>
      <c r="C135" s="5" t="s">
        <v>261</v>
      </c>
      <c r="D135" s="5" t="s">
        <v>262</v>
      </c>
      <c r="E135" s="5" t="s">
        <v>26</v>
      </c>
      <c r="F135" s="5" t="s">
        <v>175</v>
      </c>
      <c r="G135" s="4" t="str">
        <f t="shared" si="2"/>
        <v>AR8653</v>
      </c>
    </row>
    <row r="136" spans="1:7" x14ac:dyDescent="0.25">
      <c r="A136" s="5">
        <v>5151</v>
      </c>
      <c r="B136" s="5">
        <v>8667</v>
      </c>
      <c r="C136" s="5" t="s">
        <v>263</v>
      </c>
      <c r="D136" s="5" t="s">
        <v>264</v>
      </c>
      <c r="E136" s="5" t="s">
        <v>26</v>
      </c>
      <c r="F136" s="5" t="s">
        <v>175</v>
      </c>
      <c r="G136" s="4" t="str">
        <f t="shared" si="2"/>
        <v>AR8667</v>
      </c>
    </row>
    <row r="137" spans="1:7" x14ac:dyDescent="0.25">
      <c r="A137" s="5">
        <v>5237</v>
      </c>
      <c r="B137" s="5">
        <v>8756</v>
      </c>
      <c r="C137" s="5" t="s">
        <v>265</v>
      </c>
      <c r="D137" s="5" t="s">
        <v>266</v>
      </c>
      <c r="E137" s="5" t="s">
        <v>26</v>
      </c>
      <c r="F137" s="5" t="s">
        <v>175</v>
      </c>
      <c r="G137" s="4" t="str">
        <f t="shared" si="2"/>
        <v>AR8756</v>
      </c>
    </row>
    <row r="138" spans="1:7" x14ac:dyDescent="0.25">
      <c r="A138" s="5">
        <v>5241</v>
      </c>
      <c r="B138" s="5">
        <v>8759</v>
      </c>
      <c r="C138" s="5" t="s">
        <v>267</v>
      </c>
      <c r="D138" s="5" t="s">
        <v>268</v>
      </c>
      <c r="E138" s="5" t="s">
        <v>26</v>
      </c>
      <c r="F138" s="5" t="s">
        <v>175</v>
      </c>
      <c r="G138" s="4" t="str">
        <f t="shared" si="2"/>
        <v>AR8759</v>
      </c>
    </row>
    <row r="139" spans="1:7" x14ac:dyDescent="0.25">
      <c r="A139" s="5">
        <v>5282</v>
      </c>
      <c r="B139" s="5">
        <v>8886</v>
      </c>
      <c r="C139" s="5" t="s">
        <v>269</v>
      </c>
      <c r="D139" s="5" t="s">
        <v>270</v>
      </c>
      <c r="E139" s="5" t="s">
        <v>26</v>
      </c>
      <c r="F139" s="5" t="s">
        <v>27</v>
      </c>
      <c r="G139" s="4" t="str">
        <f t="shared" si="2"/>
        <v>AR8886</v>
      </c>
    </row>
    <row r="140" spans="1:7" x14ac:dyDescent="0.25">
      <c r="A140" s="5">
        <v>5350</v>
      </c>
      <c r="B140" s="5">
        <v>8881</v>
      </c>
      <c r="C140" s="5" t="s">
        <v>271</v>
      </c>
      <c r="D140" s="5" t="s">
        <v>272</v>
      </c>
      <c r="E140" s="5" t="s">
        <v>26</v>
      </c>
      <c r="F140" s="5" t="s">
        <v>27</v>
      </c>
      <c r="G140" s="4" t="str">
        <f t="shared" si="2"/>
        <v>AR8881</v>
      </c>
    </row>
    <row r="141" spans="1:7" x14ac:dyDescent="0.25">
      <c r="A141" s="5">
        <v>5356</v>
      </c>
      <c r="B141" s="5">
        <v>8888</v>
      </c>
      <c r="C141" s="5" t="s">
        <v>273</v>
      </c>
      <c r="D141" s="5" t="s">
        <v>274</v>
      </c>
      <c r="E141" s="5" t="s">
        <v>26</v>
      </c>
      <c r="F141" s="5" t="s">
        <v>27</v>
      </c>
      <c r="G141" s="4" t="str">
        <f t="shared" si="2"/>
        <v>AR8888</v>
      </c>
    </row>
    <row r="142" spans="1:7" x14ac:dyDescent="0.25">
      <c r="A142" s="5">
        <v>5385</v>
      </c>
      <c r="B142" s="5">
        <v>8852</v>
      </c>
      <c r="C142" s="85" t="s">
        <v>4399</v>
      </c>
      <c r="D142" s="5" t="s">
        <v>275</v>
      </c>
      <c r="E142" s="5" t="s">
        <v>26</v>
      </c>
      <c r="F142" s="5" t="s">
        <v>27</v>
      </c>
      <c r="G142" s="4" t="str">
        <f t="shared" si="2"/>
        <v>AR8852</v>
      </c>
    </row>
    <row r="143" spans="1:7" x14ac:dyDescent="0.25">
      <c r="A143" s="5">
        <v>5579</v>
      </c>
      <c r="B143" s="5">
        <v>8675</v>
      </c>
      <c r="C143" s="5" t="s">
        <v>276</v>
      </c>
      <c r="D143" s="5" t="s">
        <v>277</v>
      </c>
      <c r="E143" s="5" t="s">
        <v>26</v>
      </c>
      <c r="F143" s="5" t="s">
        <v>278</v>
      </c>
      <c r="G143" s="4" t="str">
        <f t="shared" si="2"/>
        <v>AR8675</v>
      </c>
    </row>
    <row r="144" spans="1:7" x14ac:dyDescent="0.25">
      <c r="A144" s="26">
        <v>5584</v>
      </c>
      <c r="B144" s="5">
        <v>9061</v>
      </c>
      <c r="C144" s="5" t="s">
        <v>279</v>
      </c>
      <c r="D144" s="5" t="s">
        <v>280</v>
      </c>
      <c r="E144" s="5" t="s">
        <v>26</v>
      </c>
      <c r="F144" s="5" t="s">
        <v>278</v>
      </c>
      <c r="G144" s="4" t="str">
        <f t="shared" si="2"/>
        <v>AR9061</v>
      </c>
    </row>
    <row r="145" spans="1:7" x14ac:dyDescent="0.25">
      <c r="A145" s="5">
        <v>5608</v>
      </c>
      <c r="B145" s="5">
        <v>9083</v>
      </c>
      <c r="C145" s="5" t="s">
        <v>281</v>
      </c>
      <c r="D145" s="5" t="s">
        <v>282</v>
      </c>
      <c r="E145" s="5" t="s">
        <v>26</v>
      </c>
      <c r="F145" s="5" t="s">
        <v>278</v>
      </c>
      <c r="G145" s="4" t="str">
        <f t="shared" si="2"/>
        <v>AR9083</v>
      </c>
    </row>
    <row r="146" spans="1:7" x14ac:dyDescent="0.25">
      <c r="A146" s="5">
        <v>5611</v>
      </c>
      <c r="B146" s="5">
        <v>9086</v>
      </c>
      <c r="C146" s="5" t="s">
        <v>283</v>
      </c>
      <c r="D146" s="5" t="s">
        <v>284</v>
      </c>
      <c r="E146" s="5" t="s">
        <v>26</v>
      </c>
      <c r="F146" s="5" t="s">
        <v>278</v>
      </c>
      <c r="G146" s="4" t="str">
        <f t="shared" si="2"/>
        <v>AR9086</v>
      </c>
    </row>
    <row r="147" spans="1:7" x14ac:dyDescent="0.25">
      <c r="A147" s="5">
        <v>5659</v>
      </c>
      <c r="B147" s="5">
        <v>9000</v>
      </c>
      <c r="C147" s="5" t="s">
        <v>285</v>
      </c>
      <c r="D147" s="5" t="s">
        <v>286</v>
      </c>
      <c r="E147" s="5" t="s">
        <v>26</v>
      </c>
      <c r="F147" s="5" t="s">
        <v>278</v>
      </c>
      <c r="G147" s="4" t="str">
        <f t="shared" si="2"/>
        <v>AR9000</v>
      </c>
    </row>
    <row r="148" spans="1:7" x14ac:dyDescent="0.25">
      <c r="A148" s="5">
        <v>5669</v>
      </c>
      <c r="B148" s="5">
        <v>4456</v>
      </c>
      <c r="C148" s="5" t="s">
        <v>287</v>
      </c>
      <c r="D148" s="5" t="s">
        <v>288</v>
      </c>
      <c r="E148" s="5" t="s">
        <v>57</v>
      </c>
      <c r="F148" s="5" t="s">
        <v>233</v>
      </c>
      <c r="G148" s="4" t="str">
        <f t="shared" si="2"/>
        <v>AR4456</v>
      </c>
    </row>
    <row r="149" spans="1:7" x14ac:dyDescent="0.25">
      <c r="A149" s="5">
        <v>5670</v>
      </c>
      <c r="B149" s="5">
        <v>4456</v>
      </c>
      <c r="C149" s="5" t="s">
        <v>289</v>
      </c>
      <c r="D149" s="5" t="s">
        <v>288</v>
      </c>
      <c r="E149" s="5" t="s">
        <v>57</v>
      </c>
      <c r="F149" s="5" t="s">
        <v>233</v>
      </c>
      <c r="G149" s="4" t="str">
        <f t="shared" si="2"/>
        <v>AR4456</v>
      </c>
    </row>
    <row r="150" spans="1:7" x14ac:dyDescent="0.25">
      <c r="A150" s="5">
        <v>5671</v>
      </c>
      <c r="B150" s="5">
        <v>4456</v>
      </c>
      <c r="C150" s="5" t="s">
        <v>290</v>
      </c>
      <c r="D150" s="5" t="s">
        <v>288</v>
      </c>
      <c r="E150" s="5" t="s">
        <v>57</v>
      </c>
      <c r="F150" s="5" t="s">
        <v>233</v>
      </c>
      <c r="G150" s="4" t="str">
        <f t="shared" si="2"/>
        <v>AR4456</v>
      </c>
    </row>
    <row r="151" spans="1:7" x14ac:dyDescent="0.25">
      <c r="A151" s="5">
        <v>5672</v>
      </c>
      <c r="B151" s="5">
        <v>4456</v>
      </c>
      <c r="C151" s="5" t="s">
        <v>291</v>
      </c>
      <c r="D151" s="5" t="s">
        <v>288</v>
      </c>
      <c r="E151" s="5" t="s">
        <v>57</v>
      </c>
      <c r="F151" s="5" t="s">
        <v>233</v>
      </c>
      <c r="G151" s="4" t="str">
        <f t="shared" si="2"/>
        <v>AR4456</v>
      </c>
    </row>
    <row r="152" spans="1:7" x14ac:dyDescent="0.25">
      <c r="A152" s="5">
        <v>5696</v>
      </c>
      <c r="B152" s="5">
        <v>4508</v>
      </c>
      <c r="C152" s="5" t="s">
        <v>292</v>
      </c>
      <c r="D152" s="5" t="s">
        <v>293</v>
      </c>
      <c r="E152" s="5" t="s">
        <v>57</v>
      </c>
      <c r="F152" s="5" t="s">
        <v>233</v>
      </c>
      <c r="G152" s="4" t="str">
        <f t="shared" si="2"/>
        <v>AR4508</v>
      </c>
    </row>
    <row r="153" spans="1:7" x14ac:dyDescent="0.25">
      <c r="A153" s="5">
        <v>5699</v>
      </c>
      <c r="B153" s="5">
        <v>4571</v>
      </c>
      <c r="C153" s="5" t="s">
        <v>294</v>
      </c>
      <c r="D153" s="5" t="s">
        <v>295</v>
      </c>
      <c r="E153" s="5" t="s">
        <v>57</v>
      </c>
      <c r="F153" s="5" t="s">
        <v>233</v>
      </c>
      <c r="G153" s="4" t="str">
        <f t="shared" si="2"/>
        <v>AR4571</v>
      </c>
    </row>
    <row r="154" spans="1:7" x14ac:dyDescent="0.25">
      <c r="A154" s="5">
        <v>5761</v>
      </c>
      <c r="B154" s="5">
        <v>4468</v>
      </c>
      <c r="C154" s="5" t="s">
        <v>296</v>
      </c>
      <c r="D154" s="5" t="s">
        <v>297</v>
      </c>
      <c r="E154" s="5" t="s">
        <v>57</v>
      </c>
      <c r="F154" s="5" t="s">
        <v>233</v>
      </c>
      <c r="G154" s="4" t="str">
        <f t="shared" si="2"/>
        <v>AR4468</v>
      </c>
    </row>
    <row r="155" spans="1:7" x14ac:dyDescent="0.25">
      <c r="A155" s="5">
        <v>5806</v>
      </c>
      <c r="B155" s="5">
        <v>4508</v>
      </c>
      <c r="C155" s="5" t="s">
        <v>298</v>
      </c>
      <c r="D155" s="5" t="s">
        <v>293</v>
      </c>
      <c r="E155" s="5" t="s">
        <v>57</v>
      </c>
      <c r="F155" s="5" t="s">
        <v>233</v>
      </c>
      <c r="G155" s="4" t="str">
        <f t="shared" si="2"/>
        <v>AR4508</v>
      </c>
    </row>
    <row r="156" spans="1:7" x14ac:dyDescent="0.25">
      <c r="A156" s="5">
        <v>5851</v>
      </c>
      <c r="B156" s="5">
        <v>4544</v>
      </c>
      <c r="C156" s="5" t="s">
        <v>318</v>
      </c>
      <c r="D156" s="5" t="s">
        <v>319</v>
      </c>
      <c r="E156" s="5" t="s">
        <v>57</v>
      </c>
      <c r="F156" s="5" t="s">
        <v>233</v>
      </c>
      <c r="G156" s="4" t="str">
        <f t="shared" si="2"/>
        <v>AR4544</v>
      </c>
    </row>
    <row r="157" spans="1:7" x14ac:dyDescent="0.25">
      <c r="A157" s="5">
        <v>5882</v>
      </c>
      <c r="B157" s="5">
        <v>9495</v>
      </c>
      <c r="C157" s="5" t="s">
        <v>299</v>
      </c>
      <c r="D157" s="5" t="s">
        <v>300</v>
      </c>
      <c r="E157" s="5" t="s">
        <v>26</v>
      </c>
      <c r="F157" s="5" t="s">
        <v>48</v>
      </c>
      <c r="G157" s="4" t="str">
        <f t="shared" si="2"/>
        <v>AR9495</v>
      </c>
    </row>
    <row r="158" spans="1:7" x14ac:dyDescent="0.25">
      <c r="A158" s="5">
        <v>5895</v>
      </c>
      <c r="B158" s="5">
        <v>9460</v>
      </c>
      <c r="C158" s="5" t="s">
        <v>301</v>
      </c>
      <c r="D158" s="5" t="s">
        <v>302</v>
      </c>
      <c r="E158" s="5" t="s">
        <v>9</v>
      </c>
      <c r="F158" s="5" t="s">
        <v>98</v>
      </c>
      <c r="G158" s="4" t="str">
        <f t="shared" si="2"/>
        <v>AR9460</v>
      </c>
    </row>
    <row r="159" spans="1:7" x14ac:dyDescent="0.25">
      <c r="A159" s="5">
        <v>5896</v>
      </c>
      <c r="B159" s="5">
        <v>9460</v>
      </c>
      <c r="C159" s="5" t="s">
        <v>303</v>
      </c>
      <c r="D159" s="5" t="s">
        <v>302</v>
      </c>
      <c r="E159" s="5" t="s">
        <v>9</v>
      </c>
      <c r="F159" s="5" t="s">
        <v>98</v>
      </c>
      <c r="G159" s="4" t="str">
        <f t="shared" si="2"/>
        <v>AR9460</v>
      </c>
    </row>
    <row r="160" spans="1:7" x14ac:dyDescent="0.25">
      <c r="A160" s="5">
        <v>5902</v>
      </c>
      <c r="B160" s="5">
        <v>7516</v>
      </c>
      <c r="C160" s="5" t="s">
        <v>304</v>
      </c>
      <c r="D160" s="5" t="s">
        <v>305</v>
      </c>
      <c r="E160" s="5" t="s">
        <v>220</v>
      </c>
      <c r="F160" s="5" t="s">
        <v>228</v>
      </c>
      <c r="G160" s="4" t="str">
        <f t="shared" si="2"/>
        <v>AR7516</v>
      </c>
    </row>
    <row r="161" spans="1:7" x14ac:dyDescent="0.25">
      <c r="A161" s="5">
        <v>5906</v>
      </c>
      <c r="B161" s="5">
        <v>3028</v>
      </c>
      <c r="C161" s="5" t="s">
        <v>306</v>
      </c>
      <c r="D161" s="5" t="s">
        <v>307</v>
      </c>
      <c r="E161" s="5" t="s">
        <v>57</v>
      </c>
      <c r="F161" s="5" t="s">
        <v>70</v>
      </c>
      <c r="G161" s="4" t="str">
        <f t="shared" si="2"/>
        <v>AR3028</v>
      </c>
    </row>
    <row r="162" spans="1:7" x14ac:dyDescent="0.25">
      <c r="A162" s="5">
        <v>5909</v>
      </c>
      <c r="B162" s="5">
        <v>9473</v>
      </c>
      <c r="C162" s="5" t="s">
        <v>308</v>
      </c>
      <c r="D162" s="5" t="s">
        <v>309</v>
      </c>
      <c r="E162" s="5" t="s">
        <v>57</v>
      </c>
      <c r="F162" s="5" t="s">
        <v>70</v>
      </c>
      <c r="G162" s="4" t="str">
        <f t="shared" si="2"/>
        <v>AR9473</v>
      </c>
    </row>
    <row r="163" spans="1:7" x14ac:dyDescent="0.25">
      <c r="A163" s="5">
        <v>5910</v>
      </c>
      <c r="B163" s="5">
        <v>9472</v>
      </c>
      <c r="C163" s="5" t="s">
        <v>310</v>
      </c>
      <c r="D163" s="5" t="s">
        <v>309</v>
      </c>
      <c r="E163" s="5" t="s">
        <v>57</v>
      </c>
      <c r="F163" s="5" t="s">
        <v>70</v>
      </c>
      <c r="G163" s="4" t="str">
        <f t="shared" si="2"/>
        <v>AR9472</v>
      </c>
    </row>
    <row r="164" spans="1:7" x14ac:dyDescent="0.25">
      <c r="A164" s="5">
        <v>5912</v>
      </c>
      <c r="B164" s="5">
        <v>9474</v>
      </c>
      <c r="C164" s="5" t="s">
        <v>311</v>
      </c>
      <c r="D164" s="5" t="s">
        <v>309</v>
      </c>
      <c r="E164" s="5" t="s">
        <v>57</v>
      </c>
      <c r="F164" s="5" t="s">
        <v>70</v>
      </c>
      <c r="G164" s="4" t="str">
        <f t="shared" si="2"/>
        <v>AR9474</v>
      </c>
    </row>
    <row r="165" spans="1:7" x14ac:dyDescent="0.25">
      <c r="A165" s="5">
        <v>5917</v>
      </c>
      <c r="B165" s="5">
        <v>9481</v>
      </c>
      <c r="C165" s="5" t="s">
        <v>184</v>
      </c>
      <c r="D165" s="5" t="s">
        <v>185</v>
      </c>
      <c r="E165" s="5" t="s">
        <v>57</v>
      </c>
      <c r="F165" s="5" t="s">
        <v>186</v>
      </c>
      <c r="G165" s="4" t="str">
        <f t="shared" si="2"/>
        <v>AR9481</v>
      </c>
    </row>
    <row r="166" spans="1:7" x14ac:dyDescent="0.25">
      <c r="A166" s="5">
        <v>5919</v>
      </c>
      <c r="B166" s="5">
        <v>9484</v>
      </c>
      <c r="C166" s="5" t="s">
        <v>312</v>
      </c>
      <c r="D166" s="5" t="s">
        <v>313</v>
      </c>
      <c r="E166" s="5" t="s">
        <v>26</v>
      </c>
      <c r="F166" s="5" t="s">
        <v>27</v>
      </c>
      <c r="G166" s="4" t="str">
        <f t="shared" si="2"/>
        <v>AR9484</v>
      </c>
    </row>
    <row r="167" spans="1:7" x14ac:dyDescent="0.25">
      <c r="A167" s="5">
        <v>5922</v>
      </c>
      <c r="B167" s="5">
        <v>9492</v>
      </c>
      <c r="C167" s="5" t="s">
        <v>314</v>
      </c>
      <c r="D167" s="5" t="s">
        <v>315</v>
      </c>
      <c r="E167" s="5" t="s">
        <v>26</v>
      </c>
      <c r="F167" s="5" t="s">
        <v>175</v>
      </c>
      <c r="G167" s="4" t="str">
        <f t="shared" si="2"/>
        <v>AR9492</v>
      </c>
    </row>
    <row r="168" spans="1:7" x14ac:dyDescent="0.25">
      <c r="A168" s="5">
        <v>5925</v>
      </c>
      <c r="B168" s="5">
        <v>9122</v>
      </c>
      <c r="C168" s="5" t="s">
        <v>316</v>
      </c>
      <c r="D168" s="5" t="s">
        <v>317</v>
      </c>
      <c r="E168" s="5" t="s">
        <v>9</v>
      </c>
      <c r="F168" s="5" t="s">
        <v>10</v>
      </c>
      <c r="G168" s="4" t="str">
        <f t="shared" si="2"/>
        <v>AR9122</v>
      </c>
    </row>
    <row r="169" spans="1:7" x14ac:dyDescent="0.25">
      <c r="A169" s="5">
        <v>5966</v>
      </c>
      <c r="B169" s="5">
        <v>8125</v>
      </c>
      <c r="C169" s="5" t="s">
        <v>342</v>
      </c>
      <c r="D169" s="5" t="s">
        <v>343</v>
      </c>
      <c r="E169" s="5" t="s">
        <v>26</v>
      </c>
      <c r="F169" s="5" t="s">
        <v>48</v>
      </c>
      <c r="G169" s="4" t="str">
        <f t="shared" si="2"/>
        <v>AR8125</v>
      </c>
    </row>
    <row r="170" spans="1:7" x14ac:dyDescent="0.25">
      <c r="A170" s="5">
        <v>5967</v>
      </c>
      <c r="B170" s="5">
        <v>4213</v>
      </c>
      <c r="C170" s="5" t="s">
        <v>339</v>
      </c>
      <c r="D170" s="5" t="s">
        <v>340</v>
      </c>
      <c r="E170" s="5" t="s">
        <v>57</v>
      </c>
      <c r="F170" s="5" t="s">
        <v>233</v>
      </c>
      <c r="G170" s="4" t="str">
        <f t="shared" si="2"/>
        <v>AR4213</v>
      </c>
    </row>
    <row r="171" spans="1:7" x14ac:dyDescent="0.25">
      <c r="A171" s="5">
        <v>6027</v>
      </c>
      <c r="B171" s="5">
        <v>2680</v>
      </c>
      <c r="C171" s="5" t="s">
        <v>336</v>
      </c>
      <c r="D171" s="5" t="s">
        <v>309</v>
      </c>
      <c r="E171" s="5" t="s">
        <v>57</v>
      </c>
      <c r="F171" s="5" t="s">
        <v>70</v>
      </c>
      <c r="G171" s="4" t="str">
        <f t="shared" si="2"/>
        <v>AR2680</v>
      </c>
    </row>
    <row r="172" spans="1:7" x14ac:dyDescent="0.25">
      <c r="A172" s="5">
        <v>6068</v>
      </c>
      <c r="B172" s="5" t="s">
        <v>387</v>
      </c>
      <c r="C172" s="5" t="s">
        <v>327</v>
      </c>
      <c r="D172" s="5" t="s">
        <v>328</v>
      </c>
      <c r="E172" s="5" t="s">
        <v>26</v>
      </c>
      <c r="F172" s="5" t="s">
        <v>175</v>
      </c>
      <c r="G172" s="4" t="str">
        <f t="shared" si="2"/>
        <v>TBC</v>
      </c>
    </row>
    <row r="173" spans="1:7" x14ac:dyDescent="0.25">
      <c r="A173" s="5" t="s">
        <v>625</v>
      </c>
      <c r="B173" s="5" t="s">
        <v>387</v>
      </c>
      <c r="C173" s="5" t="s">
        <v>322</v>
      </c>
      <c r="D173" s="5">
        <v>0</v>
      </c>
      <c r="E173" s="5" t="s">
        <v>9</v>
      </c>
      <c r="F173" s="5">
        <v>0</v>
      </c>
      <c r="G173" s="4" t="str">
        <f t="shared" si="2"/>
        <v>TBC</v>
      </c>
    </row>
    <row r="174" spans="1:7" x14ac:dyDescent="0.25">
      <c r="A174" s="5">
        <v>5914</v>
      </c>
      <c r="B174" s="5">
        <v>9478</v>
      </c>
      <c r="C174" s="27" t="s">
        <v>388</v>
      </c>
      <c r="D174" s="27" t="s">
        <v>364</v>
      </c>
      <c r="E174" s="27" t="s">
        <v>57</v>
      </c>
      <c r="F174" s="27" t="s">
        <v>58</v>
      </c>
      <c r="G174" s="4" t="str">
        <f t="shared" si="2"/>
        <v>AR9478</v>
      </c>
    </row>
    <row r="175" spans="1:7" x14ac:dyDescent="0.25">
      <c r="A175" s="5">
        <v>6106</v>
      </c>
      <c r="B175" s="5">
        <v>9478</v>
      </c>
      <c r="C175" s="27" t="s">
        <v>363</v>
      </c>
      <c r="D175" s="27" t="s">
        <v>364</v>
      </c>
      <c r="E175" s="27" t="s">
        <v>57</v>
      </c>
      <c r="F175" s="27" t="s">
        <v>58</v>
      </c>
      <c r="G175" s="4" t="str">
        <f t="shared" si="2"/>
        <v>AR9478</v>
      </c>
    </row>
    <row r="176" spans="1:7" x14ac:dyDescent="0.25">
      <c r="A176" s="5">
        <v>6107</v>
      </c>
      <c r="B176" s="5">
        <v>9478</v>
      </c>
      <c r="C176" s="27" t="s">
        <v>365</v>
      </c>
      <c r="D176" s="27" t="s">
        <v>364</v>
      </c>
      <c r="E176" s="27" t="s">
        <v>57</v>
      </c>
      <c r="F176" s="27" t="s">
        <v>58</v>
      </c>
      <c r="G176" s="4" t="str">
        <f t="shared" si="2"/>
        <v>AR9478</v>
      </c>
    </row>
    <row r="177" spans="1:7" x14ac:dyDescent="0.25">
      <c r="A177" s="5">
        <v>5877</v>
      </c>
      <c r="B177" s="5">
        <v>7517</v>
      </c>
      <c r="C177" s="27" t="s">
        <v>366</v>
      </c>
      <c r="D177" s="27" t="s">
        <v>305</v>
      </c>
      <c r="E177" s="27" t="s">
        <v>220</v>
      </c>
      <c r="F177" s="27" t="s">
        <v>228</v>
      </c>
      <c r="G177" s="4" t="str">
        <f t="shared" si="2"/>
        <v>AR7517</v>
      </c>
    </row>
    <row r="178" spans="1:7" x14ac:dyDescent="0.25">
      <c r="A178" s="5">
        <v>5901</v>
      </c>
      <c r="B178" s="5">
        <v>9454</v>
      </c>
      <c r="C178" s="27" t="s">
        <v>367</v>
      </c>
      <c r="D178" s="27" t="s">
        <v>305</v>
      </c>
      <c r="E178" s="27" t="s">
        <v>220</v>
      </c>
      <c r="F178" s="27" t="s">
        <v>228</v>
      </c>
      <c r="G178" s="4" t="str">
        <f t="shared" si="2"/>
        <v>AR9454</v>
      </c>
    </row>
    <row r="179" spans="1:7" x14ac:dyDescent="0.25">
      <c r="A179" s="37">
        <v>940</v>
      </c>
      <c r="B179" s="37">
        <v>2527</v>
      </c>
      <c r="C179" s="37" t="s">
        <v>495</v>
      </c>
      <c r="D179" s="37" t="s">
        <v>496</v>
      </c>
      <c r="E179" s="37" t="s">
        <v>57</v>
      </c>
      <c r="F179" s="37" t="s">
        <v>58</v>
      </c>
      <c r="G179" s="37" t="str">
        <f t="shared" si="2"/>
        <v>AR2527</v>
      </c>
    </row>
    <row r="180" spans="1:7" x14ac:dyDescent="0.25">
      <c r="A180" s="37">
        <v>2470</v>
      </c>
      <c r="B180" s="37">
        <v>3466</v>
      </c>
      <c r="C180" s="37" t="s">
        <v>497</v>
      </c>
      <c r="D180" s="37" t="s">
        <v>498</v>
      </c>
      <c r="E180" s="37" t="s">
        <v>57</v>
      </c>
      <c r="F180" s="37" t="s">
        <v>58</v>
      </c>
      <c r="G180" s="37" t="str">
        <f t="shared" si="2"/>
        <v>AR3466</v>
      </c>
    </row>
    <row r="181" spans="1:7" x14ac:dyDescent="0.25">
      <c r="A181" s="37">
        <v>2502</v>
      </c>
      <c r="B181" s="37">
        <v>3594</v>
      </c>
      <c r="C181" s="37" t="s">
        <v>499</v>
      </c>
      <c r="D181" s="37" t="s">
        <v>500</v>
      </c>
      <c r="E181" s="37" t="s">
        <v>57</v>
      </c>
      <c r="F181" s="37" t="s">
        <v>58</v>
      </c>
      <c r="G181" s="37" t="str">
        <f t="shared" si="2"/>
        <v>AR3594</v>
      </c>
    </row>
    <row r="182" spans="1:7" x14ac:dyDescent="0.25">
      <c r="A182" s="37">
        <v>2593</v>
      </c>
      <c r="B182" s="37">
        <v>3195</v>
      </c>
      <c r="C182" s="37" t="s">
        <v>501</v>
      </c>
      <c r="D182" s="37" t="s">
        <v>502</v>
      </c>
      <c r="E182" s="37" t="s">
        <v>57</v>
      </c>
      <c r="F182" s="37" t="s">
        <v>58</v>
      </c>
      <c r="G182" s="37" t="str">
        <f t="shared" si="2"/>
        <v>AR3195</v>
      </c>
    </row>
    <row r="183" spans="1:7" x14ac:dyDescent="0.25">
      <c r="A183" s="37">
        <v>2596</v>
      </c>
      <c r="B183" s="37">
        <v>3199</v>
      </c>
      <c r="C183" s="37" t="s">
        <v>503</v>
      </c>
      <c r="D183" s="37" t="s">
        <v>504</v>
      </c>
      <c r="E183" s="37" t="s">
        <v>57</v>
      </c>
      <c r="F183" s="37" t="s">
        <v>58</v>
      </c>
      <c r="G183" s="37" t="str">
        <f t="shared" si="2"/>
        <v>AR3199</v>
      </c>
    </row>
    <row r="184" spans="1:7" x14ac:dyDescent="0.25">
      <c r="A184" s="37">
        <v>2597</v>
      </c>
      <c r="B184" s="37">
        <v>3200</v>
      </c>
      <c r="C184" s="37" t="s">
        <v>505</v>
      </c>
      <c r="D184" s="37" t="s">
        <v>504</v>
      </c>
      <c r="E184" s="37" t="s">
        <v>57</v>
      </c>
      <c r="F184" s="37" t="s">
        <v>58</v>
      </c>
      <c r="G184" s="37" t="str">
        <f t="shared" si="2"/>
        <v>AR3200</v>
      </c>
    </row>
    <row r="185" spans="1:7" x14ac:dyDescent="0.25">
      <c r="A185" s="37">
        <v>2698</v>
      </c>
      <c r="B185" s="37">
        <v>3493</v>
      </c>
      <c r="C185" s="37" t="s">
        <v>331</v>
      </c>
      <c r="D185" s="37" t="s">
        <v>506</v>
      </c>
      <c r="E185" s="37" t="s">
        <v>57</v>
      </c>
      <c r="F185" s="37" t="s">
        <v>58</v>
      </c>
      <c r="G185" s="37" t="str">
        <f t="shared" si="2"/>
        <v>AR3493</v>
      </c>
    </row>
    <row r="186" spans="1:7" x14ac:dyDescent="0.25">
      <c r="A186" s="37">
        <v>4292</v>
      </c>
      <c r="B186" s="37">
        <v>4107</v>
      </c>
      <c r="C186" s="37" t="s">
        <v>507</v>
      </c>
      <c r="D186" s="37" t="s">
        <v>508</v>
      </c>
      <c r="E186" s="37" t="s">
        <v>57</v>
      </c>
      <c r="F186" s="37" t="s">
        <v>233</v>
      </c>
      <c r="G186" s="37" t="str">
        <f t="shared" si="2"/>
        <v>AR4107</v>
      </c>
    </row>
    <row r="187" spans="1:7" x14ac:dyDescent="0.25">
      <c r="A187" s="37">
        <v>4332</v>
      </c>
      <c r="B187" s="37">
        <v>4197</v>
      </c>
      <c r="C187" s="37" t="s">
        <v>509</v>
      </c>
      <c r="D187" s="37" t="s">
        <v>510</v>
      </c>
      <c r="E187" s="37" t="s">
        <v>57</v>
      </c>
      <c r="F187" s="37" t="s">
        <v>233</v>
      </c>
      <c r="G187" s="37" t="str">
        <f t="shared" si="2"/>
        <v>AR4197</v>
      </c>
    </row>
    <row r="188" spans="1:7" x14ac:dyDescent="0.25">
      <c r="A188" s="37">
        <v>5943</v>
      </c>
      <c r="B188" s="37">
        <v>4200</v>
      </c>
      <c r="C188" s="37" t="s">
        <v>511</v>
      </c>
      <c r="D188" s="37" t="s">
        <v>512</v>
      </c>
      <c r="E188" s="37" t="s">
        <v>57</v>
      </c>
      <c r="F188" s="37" t="s">
        <v>233</v>
      </c>
      <c r="G188" s="37" t="str">
        <f t="shared" si="2"/>
        <v>AR4200</v>
      </c>
    </row>
    <row r="189" spans="1:7" x14ac:dyDescent="0.25">
      <c r="A189" s="37">
        <v>4377</v>
      </c>
      <c r="B189" s="37">
        <v>4107</v>
      </c>
      <c r="C189" s="37" t="s">
        <v>513</v>
      </c>
      <c r="D189" s="37" t="s">
        <v>508</v>
      </c>
      <c r="E189" s="37" t="s">
        <v>57</v>
      </c>
      <c r="F189" s="37" t="s">
        <v>233</v>
      </c>
      <c r="G189" s="37" t="str">
        <f t="shared" si="2"/>
        <v>AR4107</v>
      </c>
    </row>
    <row r="190" spans="1:7" x14ac:dyDescent="0.25">
      <c r="A190" s="37">
        <v>4379</v>
      </c>
      <c r="B190" s="37">
        <v>4121</v>
      </c>
      <c r="C190" s="37" t="s">
        <v>514</v>
      </c>
      <c r="D190" s="37" t="s">
        <v>515</v>
      </c>
      <c r="E190" s="37" t="s">
        <v>57</v>
      </c>
      <c r="F190" s="37" t="s">
        <v>233</v>
      </c>
      <c r="G190" s="37" t="str">
        <f t="shared" si="2"/>
        <v>AR4121</v>
      </c>
    </row>
    <row r="191" spans="1:7" x14ac:dyDescent="0.25">
      <c r="A191" s="37">
        <v>4386</v>
      </c>
      <c r="B191" s="37">
        <v>4119</v>
      </c>
      <c r="C191" s="37" t="s">
        <v>516</v>
      </c>
      <c r="D191" s="37" t="s">
        <v>517</v>
      </c>
      <c r="E191" s="37" t="s">
        <v>57</v>
      </c>
      <c r="F191" s="37" t="s">
        <v>233</v>
      </c>
      <c r="G191" s="37" t="str">
        <f t="shared" si="2"/>
        <v>AR4119</v>
      </c>
    </row>
    <row r="192" spans="1:7" x14ac:dyDescent="0.25">
      <c r="A192" s="37">
        <v>5942</v>
      </c>
      <c r="B192" s="37">
        <v>4201</v>
      </c>
      <c r="C192" s="37" t="s">
        <v>518</v>
      </c>
      <c r="D192" s="37" t="s">
        <v>519</v>
      </c>
      <c r="E192" s="37" t="s">
        <v>57</v>
      </c>
      <c r="F192" s="37" t="s">
        <v>233</v>
      </c>
      <c r="G192" s="37" t="str">
        <f t="shared" si="2"/>
        <v>AR4201</v>
      </c>
    </row>
    <row r="193" spans="1:7" x14ac:dyDescent="0.25">
      <c r="A193" s="37">
        <v>5944</v>
      </c>
      <c r="B193" s="37">
        <v>4199</v>
      </c>
      <c r="C193" s="37" t="s">
        <v>520</v>
      </c>
      <c r="D193" s="37" t="s">
        <v>521</v>
      </c>
      <c r="E193" s="37" t="s">
        <v>57</v>
      </c>
      <c r="F193" s="37" t="s">
        <v>233</v>
      </c>
      <c r="G193" s="37" t="str">
        <f t="shared" si="2"/>
        <v>AR4199</v>
      </c>
    </row>
    <row r="194" spans="1:7" x14ac:dyDescent="0.25">
      <c r="A194" s="37">
        <v>5946</v>
      </c>
      <c r="B194" s="37">
        <v>4058</v>
      </c>
      <c r="C194" s="37" t="s">
        <v>522</v>
      </c>
      <c r="D194" s="37" t="s">
        <v>523</v>
      </c>
      <c r="E194" s="37" t="s">
        <v>57</v>
      </c>
      <c r="F194" s="37" t="s">
        <v>233</v>
      </c>
      <c r="G194" s="37" t="str">
        <f t="shared" ref="G194:G257" si="3">IF(LEN(B194)&gt;3,"AR"&amp;B194,"TBC")</f>
        <v>AR4058</v>
      </c>
    </row>
    <row r="195" spans="1:7" x14ac:dyDescent="0.25">
      <c r="A195" s="37">
        <v>5863</v>
      </c>
      <c r="B195" s="37">
        <v>4562</v>
      </c>
      <c r="C195" s="37" t="s">
        <v>524</v>
      </c>
      <c r="D195" s="37" t="s">
        <v>525</v>
      </c>
      <c r="E195" s="37" t="s">
        <v>57</v>
      </c>
      <c r="F195" s="37" t="s">
        <v>233</v>
      </c>
      <c r="G195" s="37" t="str">
        <f t="shared" si="3"/>
        <v>AR4562</v>
      </c>
    </row>
    <row r="196" spans="1:7" x14ac:dyDescent="0.25">
      <c r="A196" s="37">
        <v>5795</v>
      </c>
      <c r="B196" s="37">
        <v>4395</v>
      </c>
      <c r="C196" s="37" t="s">
        <v>526</v>
      </c>
      <c r="D196" s="37" t="s">
        <v>527</v>
      </c>
      <c r="E196" s="37" t="s">
        <v>57</v>
      </c>
      <c r="F196" s="37" t="s">
        <v>233</v>
      </c>
      <c r="G196" s="37" t="str">
        <f t="shared" si="3"/>
        <v>AR4395</v>
      </c>
    </row>
    <row r="197" spans="1:7" x14ac:dyDescent="0.25">
      <c r="A197" s="37">
        <v>5872</v>
      </c>
      <c r="B197" s="37">
        <v>4434</v>
      </c>
      <c r="C197" s="37" t="s">
        <v>4401</v>
      </c>
      <c r="D197" s="37" t="s">
        <v>565</v>
      </c>
      <c r="E197" s="37" t="s">
        <v>57</v>
      </c>
      <c r="F197" s="37" t="s">
        <v>233</v>
      </c>
      <c r="G197" s="37" t="str">
        <f t="shared" si="3"/>
        <v>AR4434</v>
      </c>
    </row>
    <row r="198" spans="1:7" x14ac:dyDescent="0.25">
      <c r="A198" s="37">
        <v>4941</v>
      </c>
      <c r="B198" s="37">
        <v>4261</v>
      </c>
      <c r="C198" s="37" t="s">
        <v>561</v>
      </c>
      <c r="D198" s="37" t="s">
        <v>562</v>
      </c>
      <c r="E198" s="37" t="s">
        <v>57</v>
      </c>
      <c r="F198" s="37" t="s">
        <v>233</v>
      </c>
      <c r="G198" s="37" t="str">
        <f t="shared" si="3"/>
        <v>AR4261</v>
      </c>
    </row>
    <row r="199" spans="1:7" x14ac:dyDescent="0.25">
      <c r="A199" s="37">
        <v>5828</v>
      </c>
      <c r="B199" s="37">
        <v>4550</v>
      </c>
      <c r="C199" s="37" t="s">
        <v>563</v>
      </c>
      <c r="D199" s="37" t="s">
        <v>564</v>
      </c>
      <c r="E199" s="37" t="s">
        <v>57</v>
      </c>
      <c r="F199" s="37" t="s">
        <v>233</v>
      </c>
      <c r="G199" s="37" t="str">
        <f t="shared" si="3"/>
        <v>AR4550</v>
      </c>
    </row>
    <row r="200" spans="1:7" x14ac:dyDescent="0.25">
      <c r="A200" s="37" t="s">
        <v>626</v>
      </c>
      <c r="B200" s="37" t="s">
        <v>387</v>
      </c>
      <c r="C200" s="37" t="s">
        <v>528</v>
      </c>
      <c r="D200" s="37">
        <v>0</v>
      </c>
      <c r="E200" s="37" t="s">
        <v>57</v>
      </c>
      <c r="F200" s="37" t="s">
        <v>70</v>
      </c>
      <c r="G200" s="37" t="str">
        <f t="shared" si="3"/>
        <v>TBC</v>
      </c>
    </row>
    <row r="201" spans="1:7" x14ac:dyDescent="0.25">
      <c r="A201" s="37">
        <v>1200</v>
      </c>
      <c r="B201" s="37">
        <v>2802</v>
      </c>
      <c r="C201" s="37" t="s">
        <v>529</v>
      </c>
      <c r="D201" s="37" t="s">
        <v>530</v>
      </c>
      <c r="E201" s="37" t="s">
        <v>57</v>
      </c>
      <c r="F201" s="37" t="s">
        <v>70</v>
      </c>
      <c r="G201" s="37" t="str">
        <f t="shared" si="3"/>
        <v>AR2802</v>
      </c>
    </row>
    <row r="202" spans="1:7" x14ac:dyDescent="0.25">
      <c r="A202" s="37">
        <v>5961</v>
      </c>
      <c r="B202" s="37">
        <v>2681</v>
      </c>
      <c r="C202" s="37" t="s">
        <v>531</v>
      </c>
      <c r="D202" s="37" t="s">
        <v>532</v>
      </c>
      <c r="E202" s="37" t="s">
        <v>57</v>
      </c>
      <c r="F202" s="37" t="s">
        <v>70</v>
      </c>
      <c r="G202" s="37" t="str">
        <f t="shared" si="3"/>
        <v>AR2681</v>
      </c>
    </row>
    <row r="203" spans="1:7" x14ac:dyDescent="0.25">
      <c r="A203" s="37">
        <v>1279</v>
      </c>
      <c r="B203" s="37">
        <v>2936</v>
      </c>
      <c r="C203" s="37" t="s">
        <v>533</v>
      </c>
      <c r="D203" s="37" t="s">
        <v>534</v>
      </c>
      <c r="E203" s="37" t="s">
        <v>57</v>
      </c>
      <c r="F203" s="37" t="s">
        <v>70</v>
      </c>
      <c r="G203" s="37" t="str">
        <f t="shared" si="3"/>
        <v>AR2936</v>
      </c>
    </row>
    <row r="204" spans="1:7" x14ac:dyDescent="0.25">
      <c r="A204" s="37">
        <v>6026</v>
      </c>
      <c r="B204" s="37">
        <v>2679</v>
      </c>
      <c r="C204" s="37" t="s">
        <v>535</v>
      </c>
      <c r="D204" s="37" t="s">
        <v>309</v>
      </c>
      <c r="E204" s="37" t="s">
        <v>57</v>
      </c>
      <c r="F204" s="37" t="s">
        <v>70</v>
      </c>
      <c r="G204" s="37" t="str">
        <f t="shared" si="3"/>
        <v>AR2679</v>
      </c>
    </row>
    <row r="205" spans="1:7" x14ac:dyDescent="0.25">
      <c r="A205" s="37">
        <v>1269</v>
      </c>
      <c r="B205" s="37">
        <v>2905</v>
      </c>
      <c r="C205" s="37" t="s">
        <v>566</v>
      </c>
      <c r="D205" s="37" t="s">
        <v>567</v>
      </c>
      <c r="E205" s="37" t="s">
        <v>57</v>
      </c>
      <c r="F205" s="37" t="s">
        <v>70</v>
      </c>
      <c r="G205" s="37" t="str">
        <f t="shared" si="3"/>
        <v>AR2905</v>
      </c>
    </row>
    <row r="206" spans="1:7" x14ac:dyDescent="0.25">
      <c r="A206" s="37">
        <v>1787</v>
      </c>
      <c r="B206" s="37">
        <v>3023</v>
      </c>
      <c r="C206" s="37" t="s">
        <v>536</v>
      </c>
      <c r="D206" s="37" t="s">
        <v>537</v>
      </c>
      <c r="E206" s="37" t="s">
        <v>57</v>
      </c>
      <c r="F206" s="37" t="s">
        <v>70</v>
      </c>
      <c r="G206" s="37" t="str">
        <f t="shared" si="3"/>
        <v>AR3023</v>
      </c>
    </row>
    <row r="207" spans="1:7" x14ac:dyDescent="0.25">
      <c r="A207" s="37">
        <v>1765</v>
      </c>
      <c r="B207" s="37">
        <v>3000</v>
      </c>
      <c r="C207" s="37" t="s">
        <v>538</v>
      </c>
      <c r="D207" s="37" t="s">
        <v>539</v>
      </c>
      <c r="E207" s="37" t="s">
        <v>57</v>
      </c>
      <c r="F207" s="37" t="s">
        <v>70</v>
      </c>
      <c r="G207" s="37" t="str">
        <f t="shared" si="3"/>
        <v>AR3000</v>
      </c>
    </row>
    <row r="208" spans="1:7" x14ac:dyDescent="0.25">
      <c r="A208" s="37">
        <v>6055</v>
      </c>
      <c r="B208" s="37" t="s">
        <v>387</v>
      </c>
      <c r="C208" s="37" t="s">
        <v>540</v>
      </c>
      <c r="D208" s="37" t="s">
        <v>541</v>
      </c>
      <c r="E208" s="37" t="s">
        <v>57</v>
      </c>
      <c r="F208" s="37" t="s">
        <v>70</v>
      </c>
      <c r="G208" s="37" t="str">
        <f t="shared" si="3"/>
        <v>TBC</v>
      </c>
    </row>
    <row r="209" spans="1:7" x14ac:dyDescent="0.25">
      <c r="A209" s="37">
        <v>1850</v>
      </c>
      <c r="B209" s="37">
        <v>3064</v>
      </c>
      <c r="C209" s="37" t="s">
        <v>542</v>
      </c>
      <c r="D209" s="37" t="s">
        <v>543</v>
      </c>
      <c r="E209" s="37" t="s">
        <v>57</v>
      </c>
      <c r="F209" s="37" t="s">
        <v>70</v>
      </c>
      <c r="G209" s="37" t="str">
        <f t="shared" si="3"/>
        <v>AR3064</v>
      </c>
    </row>
    <row r="210" spans="1:7" x14ac:dyDescent="0.25">
      <c r="A210" s="37">
        <v>1820</v>
      </c>
      <c r="B210" s="37">
        <v>3106</v>
      </c>
      <c r="C210" s="37" t="s">
        <v>544</v>
      </c>
      <c r="D210" s="37" t="s">
        <v>545</v>
      </c>
      <c r="E210" s="37" t="s">
        <v>57</v>
      </c>
      <c r="F210" s="37" t="s">
        <v>70</v>
      </c>
      <c r="G210" s="37" t="str">
        <f t="shared" si="3"/>
        <v>AR3106</v>
      </c>
    </row>
    <row r="211" spans="1:7" x14ac:dyDescent="0.25">
      <c r="A211" s="37">
        <v>3177</v>
      </c>
      <c r="B211" s="37">
        <v>3753</v>
      </c>
      <c r="C211" s="37" t="s">
        <v>546</v>
      </c>
      <c r="D211" s="37" t="s">
        <v>547</v>
      </c>
      <c r="E211" s="37" t="s">
        <v>57</v>
      </c>
      <c r="F211" s="37" t="s">
        <v>548</v>
      </c>
      <c r="G211" s="37" t="str">
        <f t="shared" si="3"/>
        <v>AR3753</v>
      </c>
    </row>
    <row r="212" spans="1:7" x14ac:dyDescent="0.25">
      <c r="A212" s="37" t="s">
        <v>627</v>
      </c>
      <c r="B212" s="37" t="s">
        <v>387</v>
      </c>
      <c r="C212" s="37" t="s">
        <v>549</v>
      </c>
      <c r="D212" s="37" t="s">
        <v>550</v>
      </c>
      <c r="E212" s="37" t="s">
        <v>57</v>
      </c>
      <c r="F212" s="37" t="s">
        <v>548</v>
      </c>
      <c r="G212" s="37" t="str">
        <f t="shared" si="3"/>
        <v>TBC</v>
      </c>
    </row>
    <row r="213" spans="1:7" x14ac:dyDescent="0.25">
      <c r="A213" s="37">
        <v>3386</v>
      </c>
      <c r="B213" s="37">
        <v>3688</v>
      </c>
      <c r="C213" s="37" t="s">
        <v>551</v>
      </c>
      <c r="D213" s="37" t="s">
        <v>552</v>
      </c>
      <c r="E213" s="37" t="s">
        <v>57</v>
      </c>
      <c r="F213" s="37" t="s">
        <v>548</v>
      </c>
      <c r="G213" s="37" t="str">
        <f t="shared" si="3"/>
        <v>AR3688</v>
      </c>
    </row>
    <row r="214" spans="1:7" x14ac:dyDescent="0.25">
      <c r="A214" s="37">
        <v>3592</v>
      </c>
      <c r="B214" s="37">
        <v>3901</v>
      </c>
      <c r="C214" s="37" t="s">
        <v>553</v>
      </c>
      <c r="D214" s="37" t="s">
        <v>554</v>
      </c>
      <c r="E214" s="37" t="s">
        <v>57</v>
      </c>
      <c r="F214" s="37" t="s">
        <v>548</v>
      </c>
      <c r="G214" s="37" t="str">
        <f t="shared" si="3"/>
        <v>AR3901</v>
      </c>
    </row>
    <row r="215" spans="1:7" x14ac:dyDescent="0.25">
      <c r="A215" s="37">
        <v>3706</v>
      </c>
      <c r="B215" s="37">
        <v>3916</v>
      </c>
      <c r="C215" s="37" t="s">
        <v>555</v>
      </c>
      <c r="D215" s="37" t="s">
        <v>556</v>
      </c>
      <c r="E215" s="37" t="s">
        <v>57</v>
      </c>
      <c r="F215" s="37" t="s">
        <v>548</v>
      </c>
      <c r="G215" s="37" t="str">
        <f t="shared" si="3"/>
        <v>AR3916</v>
      </c>
    </row>
    <row r="216" spans="1:7" x14ac:dyDescent="0.25">
      <c r="A216" s="37">
        <v>3718</v>
      </c>
      <c r="B216" s="37">
        <v>3965</v>
      </c>
      <c r="C216" s="37" t="s">
        <v>557</v>
      </c>
      <c r="D216" s="37" t="s">
        <v>558</v>
      </c>
      <c r="E216" s="37" t="s">
        <v>57</v>
      </c>
      <c r="F216" s="37" t="s">
        <v>548</v>
      </c>
      <c r="G216" s="37" t="str">
        <f t="shared" si="3"/>
        <v>AR3965</v>
      </c>
    </row>
    <row r="217" spans="1:7" x14ac:dyDescent="0.25">
      <c r="A217" s="37">
        <v>3775</v>
      </c>
      <c r="B217" s="37">
        <v>3876</v>
      </c>
      <c r="C217" s="37" t="s">
        <v>559</v>
      </c>
      <c r="D217" s="37" t="s">
        <v>560</v>
      </c>
      <c r="E217" s="37" t="s">
        <v>57</v>
      </c>
      <c r="F217" s="37" t="s">
        <v>548</v>
      </c>
      <c r="G217" s="37" t="str">
        <f t="shared" si="3"/>
        <v>AR3876</v>
      </c>
    </row>
    <row r="218" spans="1:7" x14ac:dyDescent="0.25">
      <c r="A218" s="37">
        <v>3765</v>
      </c>
      <c r="B218" s="37">
        <v>3868</v>
      </c>
      <c r="C218" s="37" t="s">
        <v>568</v>
      </c>
      <c r="D218" s="37" t="s">
        <v>569</v>
      </c>
      <c r="E218" s="37" t="s">
        <v>57</v>
      </c>
      <c r="F218" s="37" t="s">
        <v>548</v>
      </c>
      <c r="G218" s="37" t="str">
        <f t="shared" si="3"/>
        <v>AR3868</v>
      </c>
    </row>
    <row r="219" spans="1:7" x14ac:dyDescent="0.25">
      <c r="A219" s="37">
        <v>3086</v>
      </c>
      <c r="B219" s="37">
        <v>8443</v>
      </c>
      <c r="C219" s="37" t="s">
        <v>571</v>
      </c>
      <c r="D219" s="37" t="s">
        <v>572</v>
      </c>
      <c r="E219" s="37" t="s">
        <v>26</v>
      </c>
      <c r="F219" s="37" t="s">
        <v>573</v>
      </c>
      <c r="G219" s="37" t="str">
        <f t="shared" si="3"/>
        <v>AR8443</v>
      </c>
    </row>
    <row r="220" spans="1:7" x14ac:dyDescent="0.25">
      <c r="A220" s="37">
        <v>3105</v>
      </c>
      <c r="B220" s="37">
        <v>8461</v>
      </c>
      <c r="C220" s="37" t="s">
        <v>574</v>
      </c>
      <c r="D220" s="37" t="s">
        <v>575</v>
      </c>
      <c r="E220" s="37" t="s">
        <v>26</v>
      </c>
      <c r="F220" s="37" t="s">
        <v>573</v>
      </c>
      <c r="G220" s="37" t="str">
        <f t="shared" si="3"/>
        <v>AR8461</v>
      </c>
    </row>
    <row r="221" spans="1:7" x14ac:dyDescent="0.25">
      <c r="A221" s="37">
        <v>3117</v>
      </c>
      <c r="B221" s="37">
        <v>8564</v>
      </c>
      <c r="C221" s="37" t="s">
        <v>576</v>
      </c>
      <c r="D221" s="37" t="s">
        <v>577</v>
      </c>
      <c r="E221" s="37" t="s">
        <v>26</v>
      </c>
      <c r="F221" s="37" t="s">
        <v>573</v>
      </c>
      <c r="G221" s="37" t="str">
        <f t="shared" si="3"/>
        <v>AR8564</v>
      </c>
    </row>
    <row r="222" spans="1:7" x14ac:dyDescent="0.25">
      <c r="A222" s="37">
        <v>5132</v>
      </c>
      <c r="B222" s="37">
        <v>8618</v>
      </c>
      <c r="C222" s="37" t="s">
        <v>578</v>
      </c>
      <c r="D222" s="37" t="s">
        <v>579</v>
      </c>
      <c r="E222" s="37" t="s">
        <v>26</v>
      </c>
      <c r="F222" s="37" t="s">
        <v>573</v>
      </c>
      <c r="G222" s="37" t="str">
        <f t="shared" si="3"/>
        <v>AR8618</v>
      </c>
    </row>
    <row r="223" spans="1:7" x14ac:dyDescent="0.25">
      <c r="A223" s="37">
        <v>5141</v>
      </c>
      <c r="B223" s="37">
        <v>8661</v>
      </c>
      <c r="C223" s="37" t="s">
        <v>580</v>
      </c>
      <c r="D223" s="37" t="s">
        <v>581</v>
      </c>
      <c r="E223" s="37" t="s">
        <v>26</v>
      </c>
      <c r="F223" s="37" t="s">
        <v>573</v>
      </c>
      <c r="G223" s="37" t="str">
        <f t="shared" si="3"/>
        <v>AR8661</v>
      </c>
    </row>
    <row r="224" spans="1:7" x14ac:dyDescent="0.25">
      <c r="A224" s="37">
        <v>5176</v>
      </c>
      <c r="B224" s="37">
        <v>8688</v>
      </c>
      <c r="C224" s="37" t="s">
        <v>582</v>
      </c>
      <c r="D224" s="37" t="s">
        <v>583</v>
      </c>
      <c r="E224" s="37" t="s">
        <v>26</v>
      </c>
      <c r="F224" s="37" t="s">
        <v>573</v>
      </c>
      <c r="G224" s="37" t="str">
        <f t="shared" si="3"/>
        <v>AR8688</v>
      </c>
    </row>
    <row r="225" spans="1:7" x14ac:dyDescent="0.25">
      <c r="A225" s="37">
        <v>5301</v>
      </c>
      <c r="B225" s="37">
        <v>8897</v>
      </c>
      <c r="C225" s="37" t="s">
        <v>584</v>
      </c>
      <c r="D225" s="37" t="s">
        <v>585</v>
      </c>
      <c r="E225" s="37" t="s">
        <v>26</v>
      </c>
      <c r="F225" s="37" t="s">
        <v>570</v>
      </c>
      <c r="G225" s="37" t="str">
        <f t="shared" si="3"/>
        <v>AR8897</v>
      </c>
    </row>
    <row r="226" spans="1:7" x14ac:dyDescent="0.25">
      <c r="A226" s="37">
        <v>5226</v>
      </c>
      <c r="B226" s="37">
        <v>8743</v>
      </c>
      <c r="C226" s="37" t="s">
        <v>586</v>
      </c>
      <c r="D226" s="37" t="s">
        <v>587</v>
      </c>
      <c r="E226" s="37" t="s">
        <v>26</v>
      </c>
      <c r="F226" s="37" t="s">
        <v>573</v>
      </c>
      <c r="G226" s="37" t="str">
        <f t="shared" si="3"/>
        <v>AR8743</v>
      </c>
    </row>
    <row r="227" spans="1:7" x14ac:dyDescent="0.25">
      <c r="A227" s="37">
        <v>5374</v>
      </c>
      <c r="B227" s="37">
        <v>8841</v>
      </c>
      <c r="C227" s="37" t="s">
        <v>588</v>
      </c>
      <c r="D227" s="37" t="s">
        <v>589</v>
      </c>
      <c r="E227" s="37" t="s">
        <v>26</v>
      </c>
      <c r="F227" s="37" t="s">
        <v>570</v>
      </c>
      <c r="G227" s="37" t="str">
        <f t="shared" si="3"/>
        <v>AR8841</v>
      </c>
    </row>
    <row r="228" spans="1:7" x14ac:dyDescent="0.25">
      <c r="A228" s="37">
        <v>5408</v>
      </c>
      <c r="B228" s="37">
        <v>9108</v>
      </c>
      <c r="C228" s="37" t="s">
        <v>590</v>
      </c>
      <c r="D228" s="37" t="s">
        <v>591</v>
      </c>
      <c r="E228" s="37" t="s">
        <v>26</v>
      </c>
      <c r="F228" s="37" t="s">
        <v>592</v>
      </c>
      <c r="G228" s="37" t="str">
        <f t="shared" si="3"/>
        <v>AR9108</v>
      </c>
    </row>
    <row r="229" spans="1:7" x14ac:dyDescent="0.25">
      <c r="A229" s="37">
        <v>5459</v>
      </c>
      <c r="B229" s="37">
        <v>9105</v>
      </c>
      <c r="C229" s="37" t="s">
        <v>593</v>
      </c>
      <c r="D229" s="37" t="s">
        <v>594</v>
      </c>
      <c r="E229" s="37" t="s">
        <v>26</v>
      </c>
      <c r="F229" s="37" t="s">
        <v>592</v>
      </c>
      <c r="G229" s="37" t="str">
        <f t="shared" si="3"/>
        <v>AR9105</v>
      </c>
    </row>
    <row r="230" spans="1:7" x14ac:dyDescent="0.25">
      <c r="A230" s="37">
        <v>5494</v>
      </c>
      <c r="B230" s="37">
        <v>9114</v>
      </c>
      <c r="C230" s="37" t="s">
        <v>595</v>
      </c>
      <c r="D230" s="37" t="s">
        <v>596</v>
      </c>
      <c r="E230" s="37" t="s">
        <v>26</v>
      </c>
      <c r="F230" s="37" t="s">
        <v>592</v>
      </c>
      <c r="G230" s="37" t="str">
        <f t="shared" si="3"/>
        <v>AR9114</v>
      </c>
    </row>
    <row r="231" spans="1:7" x14ac:dyDescent="0.25">
      <c r="A231" s="37">
        <v>5564</v>
      </c>
      <c r="B231" s="37">
        <v>8926</v>
      </c>
      <c r="C231" s="37" t="s">
        <v>597</v>
      </c>
      <c r="D231" s="37" t="s">
        <v>598</v>
      </c>
      <c r="E231" s="37" t="s">
        <v>26</v>
      </c>
      <c r="F231" s="37" t="s">
        <v>592</v>
      </c>
      <c r="G231" s="37" t="str">
        <f t="shared" si="3"/>
        <v>AR8926</v>
      </c>
    </row>
    <row r="232" spans="1:7" x14ac:dyDescent="0.25">
      <c r="A232" s="37">
        <v>5569</v>
      </c>
      <c r="B232" s="37">
        <v>9051</v>
      </c>
      <c r="C232" s="37" t="s">
        <v>599</v>
      </c>
      <c r="D232" s="37" t="s">
        <v>600</v>
      </c>
      <c r="E232" s="37" t="s">
        <v>26</v>
      </c>
      <c r="F232" s="37" t="s">
        <v>592</v>
      </c>
      <c r="G232" s="37" t="str">
        <f t="shared" si="3"/>
        <v>AR9051</v>
      </c>
    </row>
    <row r="233" spans="1:7" x14ac:dyDescent="0.25">
      <c r="A233" s="37">
        <v>5440</v>
      </c>
      <c r="B233" s="37">
        <v>9051</v>
      </c>
      <c r="C233" s="37" t="s">
        <v>599</v>
      </c>
      <c r="D233" s="37" t="s">
        <v>600</v>
      </c>
      <c r="E233" s="37" t="s">
        <v>26</v>
      </c>
      <c r="F233" s="37" t="s">
        <v>592</v>
      </c>
      <c r="G233" s="37" t="str">
        <f t="shared" si="3"/>
        <v>AR9051</v>
      </c>
    </row>
    <row r="234" spans="1:7" x14ac:dyDescent="0.25">
      <c r="A234" s="37">
        <v>5573</v>
      </c>
      <c r="B234" s="37">
        <v>9051</v>
      </c>
      <c r="C234" s="37" t="s">
        <v>599</v>
      </c>
      <c r="D234" s="37" t="s">
        <v>600</v>
      </c>
      <c r="E234" s="37" t="s">
        <v>26</v>
      </c>
      <c r="F234" s="37" t="s">
        <v>592</v>
      </c>
      <c r="G234" s="37" t="str">
        <f t="shared" si="3"/>
        <v>AR9051</v>
      </c>
    </row>
    <row r="235" spans="1:7" x14ac:dyDescent="0.25">
      <c r="A235" s="37">
        <v>5575</v>
      </c>
      <c r="B235" s="37">
        <v>9051</v>
      </c>
      <c r="C235" s="37" t="s">
        <v>599</v>
      </c>
      <c r="D235" s="37" t="s">
        <v>600</v>
      </c>
      <c r="E235" s="37" t="s">
        <v>26</v>
      </c>
      <c r="F235" s="37" t="s">
        <v>592</v>
      </c>
      <c r="G235" s="37" t="str">
        <f t="shared" si="3"/>
        <v>AR9051</v>
      </c>
    </row>
    <row r="236" spans="1:7" x14ac:dyDescent="0.25">
      <c r="A236" s="37">
        <v>5571</v>
      </c>
      <c r="B236" s="37">
        <v>9046</v>
      </c>
      <c r="C236" s="37" t="s">
        <v>601</v>
      </c>
      <c r="D236" s="37" t="s">
        <v>602</v>
      </c>
      <c r="E236" s="37" t="s">
        <v>26</v>
      </c>
      <c r="F236" s="37" t="s">
        <v>592</v>
      </c>
      <c r="G236" s="37" t="str">
        <f t="shared" si="3"/>
        <v>AR9046</v>
      </c>
    </row>
    <row r="237" spans="1:7" x14ac:dyDescent="0.25">
      <c r="A237" s="37">
        <v>5373</v>
      </c>
      <c r="B237" s="37">
        <v>8840</v>
      </c>
      <c r="C237" s="37" t="s">
        <v>603</v>
      </c>
      <c r="D237" s="37" t="s">
        <v>604</v>
      </c>
      <c r="E237" s="37" t="s">
        <v>26</v>
      </c>
      <c r="F237" s="37" t="s">
        <v>570</v>
      </c>
      <c r="G237" s="37" t="str">
        <f t="shared" si="3"/>
        <v>AR8840</v>
      </c>
    </row>
    <row r="238" spans="1:7" x14ac:dyDescent="0.25">
      <c r="A238" s="37">
        <v>1463</v>
      </c>
      <c r="B238" s="37">
        <v>8252</v>
      </c>
      <c r="C238" s="37" t="s">
        <v>606</v>
      </c>
      <c r="D238" s="37" t="s">
        <v>607</v>
      </c>
      <c r="E238" s="37" t="s">
        <v>26</v>
      </c>
      <c r="F238" s="37" t="s">
        <v>605</v>
      </c>
      <c r="G238" s="37" t="str">
        <f t="shared" si="3"/>
        <v>AR8252</v>
      </c>
    </row>
    <row r="239" spans="1:7" x14ac:dyDescent="0.25">
      <c r="A239" s="37">
        <v>1487</v>
      </c>
      <c r="B239" s="37">
        <v>8256</v>
      </c>
      <c r="C239" s="37" t="s">
        <v>608</v>
      </c>
      <c r="D239" s="37" t="s">
        <v>609</v>
      </c>
      <c r="E239" s="37" t="s">
        <v>26</v>
      </c>
      <c r="F239" s="37" t="s">
        <v>605</v>
      </c>
      <c r="G239" s="37" t="str">
        <f t="shared" si="3"/>
        <v>AR8256</v>
      </c>
    </row>
    <row r="240" spans="1:7" x14ac:dyDescent="0.25">
      <c r="A240" s="37">
        <v>1565</v>
      </c>
      <c r="B240" s="37">
        <v>8283</v>
      </c>
      <c r="C240" s="37" t="s">
        <v>610</v>
      </c>
      <c r="D240" s="37" t="s">
        <v>611</v>
      </c>
      <c r="E240" s="37" t="s">
        <v>26</v>
      </c>
      <c r="F240" s="37" t="s">
        <v>605</v>
      </c>
      <c r="G240" s="37" t="str">
        <f t="shared" si="3"/>
        <v>AR8283</v>
      </c>
    </row>
    <row r="241" spans="1:7" x14ac:dyDescent="0.25">
      <c r="A241" s="37">
        <v>1620</v>
      </c>
      <c r="B241" s="37">
        <v>8228</v>
      </c>
      <c r="C241" s="37" t="s">
        <v>612</v>
      </c>
      <c r="D241" s="37" t="s">
        <v>613</v>
      </c>
      <c r="E241" s="37" t="s">
        <v>26</v>
      </c>
      <c r="F241" s="37" t="s">
        <v>605</v>
      </c>
      <c r="G241" s="37" t="str">
        <f t="shared" si="3"/>
        <v>AR8228</v>
      </c>
    </row>
    <row r="242" spans="1:7" x14ac:dyDescent="0.25">
      <c r="A242" s="37">
        <v>1621</v>
      </c>
      <c r="B242" s="37">
        <v>8229</v>
      </c>
      <c r="C242" s="37" t="s">
        <v>614</v>
      </c>
      <c r="D242" s="37" t="s">
        <v>615</v>
      </c>
      <c r="E242" s="37" t="s">
        <v>26</v>
      </c>
      <c r="F242" s="37" t="s">
        <v>605</v>
      </c>
      <c r="G242" s="37" t="str">
        <f t="shared" si="3"/>
        <v>AR8229</v>
      </c>
    </row>
    <row r="243" spans="1:7" x14ac:dyDescent="0.25">
      <c r="A243" s="37">
        <v>1630</v>
      </c>
      <c r="B243" s="37">
        <v>8241</v>
      </c>
      <c r="C243" s="37" t="s">
        <v>616</v>
      </c>
      <c r="D243" s="37" t="s">
        <v>617</v>
      </c>
      <c r="E243" s="37" t="s">
        <v>26</v>
      </c>
      <c r="F243" s="37" t="s">
        <v>605</v>
      </c>
      <c r="G243" s="37" t="str">
        <f t="shared" si="3"/>
        <v>AR8241</v>
      </c>
    </row>
    <row r="244" spans="1:7" x14ac:dyDescent="0.25">
      <c r="A244" s="37">
        <v>1566</v>
      </c>
      <c r="B244" s="37">
        <v>8284</v>
      </c>
      <c r="C244" s="37" t="s">
        <v>618</v>
      </c>
      <c r="D244" s="37" t="s">
        <v>619</v>
      </c>
      <c r="E244" s="37" t="s">
        <v>26</v>
      </c>
      <c r="F244" s="37" t="s">
        <v>605</v>
      </c>
      <c r="G244" s="37" t="str">
        <f t="shared" si="3"/>
        <v>AR8284</v>
      </c>
    </row>
    <row r="245" spans="1:7" x14ac:dyDescent="0.25">
      <c r="A245" s="37">
        <v>5522</v>
      </c>
      <c r="B245" s="37">
        <v>8981</v>
      </c>
      <c r="C245" s="37" t="s">
        <v>620</v>
      </c>
      <c r="D245" s="37" t="s">
        <v>621</v>
      </c>
      <c r="E245" s="37" t="s">
        <v>26</v>
      </c>
      <c r="F245" s="37" t="s">
        <v>592</v>
      </c>
      <c r="G245" s="37" t="str">
        <f t="shared" si="3"/>
        <v>AR8981</v>
      </c>
    </row>
    <row r="246" spans="1:7" x14ac:dyDescent="0.25">
      <c r="A246" s="37">
        <v>3153</v>
      </c>
      <c r="B246" s="37">
        <v>8524</v>
      </c>
      <c r="C246" s="37" t="s">
        <v>622</v>
      </c>
      <c r="D246" s="37" t="s">
        <v>623</v>
      </c>
      <c r="E246" s="37" t="s">
        <v>26</v>
      </c>
      <c r="F246" s="37" t="s">
        <v>573</v>
      </c>
      <c r="G246" s="37" t="str">
        <f t="shared" si="3"/>
        <v>AR8524</v>
      </c>
    </row>
    <row r="247" spans="1:7" x14ac:dyDescent="0.25">
      <c r="A247" s="37">
        <v>1882</v>
      </c>
      <c r="B247" s="37">
        <v>5861</v>
      </c>
      <c r="C247" s="37" t="s">
        <v>444</v>
      </c>
      <c r="D247" s="37" t="s">
        <v>445</v>
      </c>
      <c r="E247" s="37" t="s">
        <v>429</v>
      </c>
      <c r="F247" s="37" t="s">
        <v>98</v>
      </c>
      <c r="G247" s="37" t="str">
        <f t="shared" si="3"/>
        <v>AR5861</v>
      </c>
    </row>
    <row r="248" spans="1:7" x14ac:dyDescent="0.25">
      <c r="A248" s="37">
        <v>2020</v>
      </c>
      <c r="B248" s="37">
        <v>5858</v>
      </c>
      <c r="C248" s="37" t="s">
        <v>446</v>
      </c>
      <c r="D248" s="37" t="s">
        <v>447</v>
      </c>
      <c r="E248" s="37" t="s">
        <v>429</v>
      </c>
      <c r="F248" s="37" t="s">
        <v>98</v>
      </c>
      <c r="G248" s="37" t="str">
        <f t="shared" si="3"/>
        <v>AR5858</v>
      </c>
    </row>
    <row r="249" spans="1:7" x14ac:dyDescent="0.25">
      <c r="A249" s="37">
        <v>2023</v>
      </c>
      <c r="B249" s="37">
        <v>5862</v>
      </c>
      <c r="C249" s="37" t="s">
        <v>448</v>
      </c>
      <c r="D249" s="37" t="s">
        <v>449</v>
      </c>
      <c r="E249" s="37" t="s">
        <v>429</v>
      </c>
      <c r="F249" s="37" t="s">
        <v>98</v>
      </c>
      <c r="G249" s="37" t="str">
        <f t="shared" si="3"/>
        <v>AR5862</v>
      </c>
    </row>
    <row r="250" spans="1:7" x14ac:dyDescent="0.25">
      <c r="A250" s="37">
        <v>2352</v>
      </c>
      <c r="B250" s="37">
        <v>6003</v>
      </c>
      <c r="C250" s="37" t="s">
        <v>450</v>
      </c>
      <c r="D250" s="37" t="s">
        <v>110</v>
      </c>
      <c r="E250" s="37" t="s">
        <v>429</v>
      </c>
      <c r="F250" s="37" t="s">
        <v>98</v>
      </c>
      <c r="G250" s="37" t="str">
        <f t="shared" si="3"/>
        <v>AR6003</v>
      </c>
    </row>
    <row r="251" spans="1:7" x14ac:dyDescent="0.25">
      <c r="A251" s="37">
        <v>2382</v>
      </c>
      <c r="B251" s="37">
        <v>6164</v>
      </c>
      <c r="C251" s="37" t="s">
        <v>478</v>
      </c>
      <c r="D251" s="37" t="s">
        <v>479</v>
      </c>
      <c r="E251" s="37" t="s">
        <v>429</v>
      </c>
      <c r="F251" s="37" t="s">
        <v>98</v>
      </c>
      <c r="G251" s="37" t="str">
        <f t="shared" si="3"/>
        <v>AR6164</v>
      </c>
    </row>
    <row r="252" spans="1:7" x14ac:dyDescent="0.25">
      <c r="A252" s="37">
        <v>6060</v>
      </c>
      <c r="B252" s="37" t="s">
        <v>387</v>
      </c>
      <c r="C252" s="37" t="s">
        <v>451</v>
      </c>
      <c r="D252" s="37" t="s">
        <v>108</v>
      </c>
      <c r="E252" s="37" t="s">
        <v>429</v>
      </c>
      <c r="F252" s="37" t="s">
        <v>98</v>
      </c>
      <c r="G252" s="37" t="str">
        <f t="shared" si="3"/>
        <v>TBC</v>
      </c>
    </row>
    <row r="253" spans="1:7" x14ac:dyDescent="0.25">
      <c r="A253" s="37">
        <v>2301</v>
      </c>
      <c r="B253" s="37">
        <v>5953</v>
      </c>
      <c r="C253" s="37" t="s">
        <v>452</v>
      </c>
      <c r="D253" s="37" t="s">
        <v>453</v>
      </c>
      <c r="E253" s="37" t="s">
        <v>429</v>
      </c>
      <c r="F253" s="37" t="s">
        <v>98</v>
      </c>
      <c r="G253" s="37" t="str">
        <f t="shared" si="3"/>
        <v>AR5953</v>
      </c>
    </row>
    <row r="254" spans="1:7" x14ac:dyDescent="0.25">
      <c r="A254" s="37">
        <v>2086</v>
      </c>
      <c r="B254" s="37">
        <v>5872</v>
      </c>
      <c r="C254" s="37" t="s">
        <v>430</v>
      </c>
      <c r="D254" s="37" t="s">
        <v>431</v>
      </c>
      <c r="E254" s="37" t="s">
        <v>429</v>
      </c>
      <c r="F254" s="37" t="s">
        <v>98</v>
      </c>
      <c r="G254" s="37" t="str">
        <f t="shared" si="3"/>
        <v>AR5872</v>
      </c>
    </row>
    <row r="255" spans="1:7" x14ac:dyDescent="0.25">
      <c r="A255" s="37">
        <v>1347</v>
      </c>
      <c r="B255" s="37">
        <v>5666</v>
      </c>
      <c r="C255" s="37" t="s">
        <v>454</v>
      </c>
      <c r="D255" s="37" t="s">
        <v>455</v>
      </c>
      <c r="E255" s="37" t="s">
        <v>429</v>
      </c>
      <c r="F255" s="37" t="s">
        <v>83</v>
      </c>
      <c r="G255" s="37" t="str">
        <f t="shared" si="3"/>
        <v>AR5666</v>
      </c>
    </row>
    <row r="256" spans="1:7" x14ac:dyDescent="0.25">
      <c r="A256" s="37">
        <v>1368</v>
      </c>
      <c r="B256" s="37">
        <v>5619</v>
      </c>
      <c r="C256" s="37" t="s">
        <v>456</v>
      </c>
      <c r="D256" s="37" t="s">
        <v>457</v>
      </c>
      <c r="E256" s="37" t="s">
        <v>429</v>
      </c>
      <c r="F256" s="37" t="s">
        <v>83</v>
      </c>
      <c r="G256" s="37" t="str">
        <f t="shared" si="3"/>
        <v>AR5619</v>
      </c>
    </row>
    <row r="257" spans="1:7" x14ac:dyDescent="0.25">
      <c r="A257" s="37">
        <v>1392</v>
      </c>
      <c r="B257" s="37">
        <v>5644</v>
      </c>
      <c r="C257" s="37" t="s">
        <v>458</v>
      </c>
      <c r="D257" s="37" t="s">
        <v>459</v>
      </c>
      <c r="E257" s="37" t="s">
        <v>429</v>
      </c>
      <c r="F257" s="37" t="s">
        <v>83</v>
      </c>
      <c r="G257" s="37" t="str">
        <f t="shared" si="3"/>
        <v>AR5644</v>
      </c>
    </row>
    <row r="258" spans="1:7" x14ac:dyDescent="0.25">
      <c r="A258" s="37">
        <v>1412</v>
      </c>
      <c r="B258" s="37">
        <v>5733</v>
      </c>
      <c r="C258" s="37" t="s">
        <v>460</v>
      </c>
      <c r="D258" s="37" t="s">
        <v>461</v>
      </c>
      <c r="E258" s="37" t="s">
        <v>429</v>
      </c>
      <c r="F258" s="37" t="s">
        <v>83</v>
      </c>
      <c r="G258" s="37" t="str">
        <f t="shared" ref="G258:G294" si="4">IF(LEN(B258)&gt;3,"AR"&amp;B258,"TBC")</f>
        <v>AR5733</v>
      </c>
    </row>
    <row r="259" spans="1:7" x14ac:dyDescent="0.25">
      <c r="A259" s="37">
        <v>1418</v>
      </c>
      <c r="B259" s="37">
        <v>5740</v>
      </c>
      <c r="C259" s="37" t="s">
        <v>442</v>
      </c>
      <c r="D259" s="37" t="s">
        <v>443</v>
      </c>
      <c r="E259" s="37" t="s">
        <v>429</v>
      </c>
      <c r="F259" s="37" t="s">
        <v>83</v>
      </c>
      <c r="G259" s="37" t="str">
        <f t="shared" si="4"/>
        <v>AR5740</v>
      </c>
    </row>
    <row r="260" spans="1:7" x14ac:dyDescent="0.25">
      <c r="A260" s="37">
        <v>1437</v>
      </c>
      <c r="B260" s="37">
        <v>5663</v>
      </c>
      <c r="C260" s="37" t="s">
        <v>464</v>
      </c>
      <c r="D260" s="37" t="s">
        <v>465</v>
      </c>
      <c r="E260" s="37" t="s">
        <v>429</v>
      </c>
      <c r="F260" s="37" t="s">
        <v>83</v>
      </c>
      <c r="G260" s="37" t="str">
        <f t="shared" si="4"/>
        <v>AR5663</v>
      </c>
    </row>
    <row r="261" spans="1:7" x14ac:dyDescent="0.25">
      <c r="A261" s="37">
        <v>2770</v>
      </c>
      <c r="B261" s="37">
        <v>6302</v>
      </c>
      <c r="C261" s="37" t="s">
        <v>466</v>
      </c>
      <c r="D261" s="37" t="s">
        <v>467</v>
      </c>
      <c r="E261" s="37" t="s">
        <v>429</v>
      </c>
      <c r="F261" s="37" t="s">
        <v>83</v>
      </c>
      <c r="G261" s="37" t="str">
        <f t="shared" si="4"/>
        <v>AR6302</v>
      </c>
    </row>
    <row r="262" spans="1:7" x14ac:dyDescent="0.25">
      <c r="A262" s="37">
        <v>2779</v>
      </c>
      <c r="B262" s="37">
        <v>6311</v>
      </c>
      <c r="C262" s="37" t="s">
        <v>427</v>
      </c>
      <c r="D262" s="37" t="s">
        <v>428</v>
      </c>
      <c r="E262" s="37" t="s">
        <v>429</v>
      </c>
      <c r="F262" s="37" t="s">
        <v>83</v>
      </c>
      <c r="G262" s="37" t="str">
        <f t="shared" si="4"/>
        <v>AR6311</v>
      </c>
    </row>
    <row r="263" spans="1:7" x14ac:dyDescent="0.25">
      <c r="A263" s="37">
        <v>2965</v>
      </c>
      <c r="B263" s="37">
        <v>6333</v>
      </c>
      <c r="C263" s="37" t="s">
        <v>438</v>
      </c>
      <c r="D263" s="37" t="s">
        <v>439</v>
      </c>
      <c r="E263" s="37" t="s">
        <v>429</v>
      </c>
      <c r="F263" s="37" t="s">
        <v>83</v>
      </c>
      <c r="G263" s="37" t="str">
        <f t="shared" si="4"/>
        <v>AR6333</v>
      </c>
    </row>
    <row r="264" spans="1:7" x14ac:dyDescent="0.25">
      <c r="A264" s="37">
        <v>2976</v>
      </c>
      <c r="B264" s="37">
        <v>6345</v>
      </c>
      <c r="C264" s="37" t="s">
        <v>440</v>
      </c>
      <c r="D264" s="37" t="s">
        <v>441</v>
      </c>
      <c r="E264" s="37" t="s">
        <v>429</v>
      </c>
      <c r="F264" s="37" t="s">
        <v>83</v>
      </c>
      <c r="G264" s="37" t="str">
        <f t="shared" si="4"/>
        <v>AR6345</v>
      </c>
    </row>
    <row r="265" spans="1:7" x14ac:dyDescent="0.25">
      <c r="A265" s="37">
        <v>3037</v>
      </c>
      <c r="B265" s="37">
        <v>6223</v>
      </c>
      <c r="C265" s="37" t="s">
        <v>432</v>
      </c>
      <c r="D265" s="37" t="s">
        <v>433</v>
      </c>
      <c r="E265" s="37" t="s">
        <v>429</v>
      </c>
      <c r="F265" s="37" t="s">
        <v>83</v>
      </c>
      <c r="G265" s="37" t="str">
        <f t="shared" si="4"/>
        <v>AR6223</v>
      </c>
    </row>
    <row r="266" spans="1:7" x14ac:dyDescent="0.25">
      <c r="A266" s="37">
        <v>3432</v>
      </c>
      <c r="B266" s="37">
        <v>6527</v>
      </c>
      <c r="C266" s="37" t="s">
        <v>468</v>
      </c>
      <c r="D266" s="37" t="s">
        <v>203</v>
      </c>
      <c r="E266" s="37" t="s">
        <v>429</v>
      </c>
      <c r="F266" s="37" t="s">
        <v>83</v>
      </c>
      <c r="G266" s="37" t="str">
        <f t="shared" si="4"/>
        <v>AR6527</v>
      </c>
    </row>
    <row r="267" spans="1:7" x14ac:dyDescent="0.25">
      <c r="A267" s="37">
        <v>3433</v>
      </c>
      <c r="B267" s="37">
        <v>6527</v>
      </c>
      <c r="C267" s="37" t="s">
        <v>469</v>
      </c>
      <c r="D267" s="37" t="s">
        <v>203</v>
      </c>
      <c r="E267" s="37" t="s">
        <v>429</v>
      </c>
      <c r="F267" s="37" t="s">
        <v>83</v>
      </c>
      <c r="G267" s="37" t="str">
        <f t="shared" si="4"/>
        <v>AR6527</v>
      </c>
    </row>
    <row r="268" spans="1:7" x14ac:dyDescent="0.25">
      <c r="A268" s="37">
        <v>3473</v>
      </c>
      <c r="B268" s="37">
        <v>6481</v>
      </c>
      <c r="C268" s="37" t="s">
        <v>434</v>
      </c>
      <c r="D268" s="37" t="s">
        <v>435</v>
      </c>
      <c r="E268" s="37" t="s">
        <v>429</v>
      </c>
      <c r="F268" s="37" t="s">
        <v>83</v>
      </c>
      <c r="G268" s="37" t="str">
        <f t="shared" si="4"/>
        <v>AR6481</v>
      </c>
    </row>
    <row r="269" spans="1:7" x14ac:dyDescent="0.25">
      <c r="A269" s="37">
        <v>3484</v>
      </c>
      <c r="B269" s="37">
        <v>6508</v>
      </c>
      <c r="C269" s="37" t="s">
        <v>472</v>
      </c>
      <c r="D269" s="37" t="s">
        <v>473</v>
      </c>
      <c r="E269" s="37" t="s">
        <v>429</v>
      </c>
      <c r="F269" s="37" t="s">
        <v>83</v>
      </c>
      <c r="G269" s="37" t="str">
        <f t="shared" si="4"/>
        <v>AR6508</v>
      </c>
    </row>
    <row r="270" spans="1:7" x14ac:dyDescent="0.25">
      <c r="A270" s="37">
        <v>3551</v>
      </c>
      <c r="B270" s="37">
        <v>6479</v>
      </c>
      <c r="C270" s="37" t="s">
        <v>462</v>
      </c>
      <c r="D270" s="37" t="s">
        <v>463</v>
      </c>
      <c r="E270" s="37" t="s">
        <v>429</v>
      </c>
      <c r="F270" s="37" t="s">
        <v>83</v>
      </c>
      <c r="G270" s="37" t="str">
        <f t="shared" si="4"/>
        <v>AR6479</v>
      </c>
    </row>
    <row r="271" spans="1:7" x14ac:dyDescent="0.25">
      <c r="A271" s="37">
        <v>3559</v>
      </c>
      <c r="B271" s="37">
        <v>6459</v>
      </c>
      <c r="C271" s="37" t="s">
        <v>436</v>
      </c>
      <c r="D271" s="37" t="s">
        <v>437</v>
      </c>
      <c r="E271" s="37" t="s">
        <v>429</v>
      </c>
      <c r="F271" s="37" t="s">
        <v>83</v>
      </c>
      <c r="G271" s="37" t="str">
        <f t="shared" si="4"/>
        <v>AR6459</v>
      </c>
    </row>
    <row r="272" spans="1:7" x14ac:dyDescent="0.25">
      <c r="A272" s="37">
        <v>4560</v>
      </c>
      <c r="B272" s="37">
        <v>6645</v>
      </c>
      <c r="C272" s="37" t="s">
        <v>476</v>
      </c>
      <c r="D272" s="37" t="s">
        <v>477</v>
      </c>
      <c r="E272" s="37" t="s">
        <v>429</v>
      </c>
      <c r="F272" s="37" t="s">
        <v>10</v>
      </c>
      <c r="G272" s="37" t="str">
        <f t="shared" si="4"/>
        <v>AR6645</v>
      </c>
    </row>
    <row r="273" spans="1:7" x14ac:dyDescent="0.25">
      <c r="A273" s="37">
        <v>4584</v>
      </c>
      <c r="B273" s="37">
        <v>6598</v>
      </c>
      <c r="C273" s="37" t="s">
        <v>470</v>
      </c>
      <c r="D273" s="37" t="s">
        <v>471</v>
      </c>
      <c r="E273" s="37" t="s">
        <v>429</v>
      </c>
      <c r="F273" s="37" t="s">
        <v>10</v>
      </c>
      <c r="G273" s="37" t="str">
        <f t="shared" si="4"/>
        <v>AR6598</v>
      </c>
    </row>
    <row r="274" spans="1:7" x14ac:dyDescent="0.25">
      <c r="A274" s="37">
        <v>4540</v>
      </c>
      <c r="B274" s="37">
        <v>6557</v>
      </c>
      <c r="C274" s="37" t="s">
        <v>480</v>
      </c>
      <c r="D274" s="37" t="s">
        <v>481</v>
      </c>
      <c r="E274" s="37" t="s">
        <v>429</v>
      </c>
      <c r="F274" s="37" t="s">
        <v>10</v>
      </c>
      <c r="G274" s="37" t="str">
        <f t="shared" si="4"/>
        <v>AR6557</v>
      </c>
    </row>
    <row r="275" spans="1:7" x14ac:dyDescent="0.25">
      <c r="A275" s="37">
        <v>4550</v>
      </c>
      <c r="B275" s="37">
        <v>6635</v>
      </c>
      <c r="C275" s="37" t="s">
        <v>482</v>
      </c>
      <c r="D275" s="37" t="s">
        <v>483</v>
      </c>
      <c r="E275" s="37" t="s">
        <v>429</v>
      </c>
      <c r="F275" s="37" t="s">
        <v>10</v>
      </c>
      <c r="G275" s="37" t="str">
        <f t="shared" si="4"/>
        <v>AR6635</v>
      </c>
    </row>
    <row r="276" spans="1:7" x14ac:dyDescent="0.25">
      <c r="A276" s="37">
        <v>694</v>
      </c>
      <c r="B276" s="37">
        <v>5469</v>
      </c>
      <c r="C276" s="37" t="s">
        <v>485</v>
      </c>
      <c r="D276" s="37" t="s">
        <v>486</v>
      </c>
      <c r="E276" s="37" t="s">
        <v>429</v>
      </c>
      <c r="F276" s="37" t="s">
        <v>10</v>
      </c>
      <c r="G276" s="37" t="str">
        <f t="shared" si="4"/>
        <v>AR5469</v>
      </c>
    </row>
    <row r="277" spans="1:7" x14ac:dyDescent="0.25">
      <c r="A277" s="37">
        <v>753</v>
      </c>
      <c r="B277" s="37">
        <v>5522</v>
      </c>
      <c r="C277" s="37" t="s">
        <v>474</v>
      </c>
      <c r="D277" s="37" t="s">
        <v>475</v>
      </c>
      <c r="E277" s="37" t="s">
        <v>429</v>
      </c>
      <c r="F277" s="37" t="s">
        <v>10</v>
      </c>
      <c r="G277" s="37" t="str">
        <f t="shared" si="4"/>
        <v>AR5522</v>
      </c>
    </row>
    <row r="278" spans="1:7" x14ac:dyDescent="0.25">
      <c r="A278" s="37">
        <v>118</v>
      </c>
      <c r="B278" s="37">
        <v>5060</v>
      </c>
      <c r="C278" s="37" t="s">
        <v>487</v>
      </c>
      <c r="D278" s="37" t="s">
        <v>488</v>
      </c>
      <c r="E278" s="37" t="s">
        <v>429</v>
      </c>
      <c r="F278" s="37" t="s">
        <v>10</v>
      </c>
      <c r="G278" s="37" t="str">
        <f t="shared" si="4"/>
        <v>AR5060</v>
      </c>
    </row>
    <row r="279" spans="1:7" x14ac:dyDescent="0.25">
      <c r="A279" s="37">
        <v>133</v>
      </c>
      <c r="B279" s="37">
        <v>5090</v>
      </c>
      <c r="C279" s="37" t="s">
        <v>489</v>
      </c>
      <c r="D279" s="37" t="s">
        <v>490</v>
      </c>
      <c r="E279" s="37" t="s">
        <v>429</v>
      </c>
      <c r="F279" s="37" t="s">
        <v>10</v>
      </c>
      <c r="G279" s="37" t="str">
        <f t="shared" si="4"/>
        <v>AR5090</v>
      </c>
    </row>
    <row r="280" spans="1:7" x14ac:dyDescent="0.25">
      <c r="A280" s="37" t="s">
        <v>628</v>
      </c>
      <c r="B280" s="37" t="s">
        <v>387</v>
      </c>
      <c r="C280" s="37" t="s">
        <v>491</v>
      </c>
      <c r="D280" s="37" t="s">
        <v>492</v>
      </c>
      <c r="E280" s="37" t="s">
        <v>429</v>
      </c>
      <c r="F280" s="37" t="s">
        <v>10</v>
      </c>
      <c r="G280" s="37" t="str">
        <f t="shared" si="4"/>
        <v>TBC</v>
      </c>
    </row>
    <row r="281" spans="1:7" x14ac:dyDescent="0.25">
      <c r="A281" s="37">
        <v>227</v>
      </c>
      <c r="B281" s="37">
        <v>5028</v>
      </c>
      <c r="C281" s="37" t="s">
        <v>493</v>
      </c>
      <c r="D281" s="37" t="s">
        <v>494</v>
      </c>
      <c r="E281" s="37" t="s">
        <v>429</v>
      </c>
      <c r="F281" s="37" t="s">
        <v>10</v>
      </c>
      <c r="G281" s="37" t="str">
        <f t="shared" si="4"/>
        <v>AR5028</v>
      </c>
    </row>
    <row r="282" spans="1:7" x14ac:dyDescent="0.25">
      <c r="A282" s="37">
        <v>3961</v>
      </c>
      <c r="B282" s="37">
        <v>7074</v>
      </c>
      <c r="C282" s="37" t="s">
        <v>406</v>
      </c>
      <c r="D282" s="37" t="s">
        <v>219</v>
      </c>
      <c r="E282" s="37" t="s">
        <v>220</v>
      </c>
      <c r="F282" s="37" t="s">
        <v>221</v>
      </c>
      <c r="G282" s="37" t="str">
        <f t="shared" si="4"/>
        <v>AR7074</v>
      </c>
    </row>
    <row r="283" spans="1:7" x14ac:dyDescent="0.25">
      <c r="A283" s="37">
        <v>4029</v>
      </c>
      <c r="B283" s="37">
        <v>7229</v>
      </c>
      <c r="C283" s="37" t="s">
        <v>407</v>
      </c>
      <c r="D283" s="37" t="s">
        <v>408</v>
      </c>
      <c r="E283" s="37" t="s">
        <v>220</v>
      </c>
      <c r="F283" s="37" t="s">
        <v>221</v>
      </c>
      <c r="G283" s="37" t="str">
        <f t="shared" si="4"/>
        <v>AR7229</v>
      </c>
    </row>
    <row r="284" spans="1:7" x14ac:dyDescent="0.25">
      <c r="A284" s="37">
        <v>4003</v>
      </c>
      <c r="B284" s="37">
        <v>7148</v>
      </c>
      <c r="C284" s="37" t="s">
        <v>409</v>
      </c>
      <c r="D284" s="37" t="s">
        <v>410</v>
      </c>
      <c r="E284" s="37" t="s">
        <v>220</v>
      </c>
      <c r="F284" s="37" t="s">
        <v>221</v>
      </c>
      <c r="G284" s="37" t="str">
        <f t="shared" si="4"/>
        <v>AR7148</v>
      </c>
    </row>
    <row r="285" spans="1:7" x14ac:dyDescent="0.25">
      <c r="A285" s="37">
        <v>3995</v>
      </c>
      <c r="B285" s="37">
        <v>7124</v>
      </c>
      <c r="C285" s="37" t="s">
        <v>411</v>
      </c>
      <c r="D285" s="37" t="s">
        <v>412</v>
      </c>
      <c r="E285" s="37" t="s">
        <v>220</v>
      </c>
      <c r="F285" s="37" t="s">
        <v>221</v>
      </c>
      <c r="G285" s="37" t="str">
        <f t="shared" si="4"/>
        <v>AR7124</v>
      </c>
    </row>
    <row r="286" spans="1:7" x14ac:dyDescent="0.25">
      <c r="A286" s="37">
        <v>3934</v>
      </c>
      <c r="B286" s="37">
        <v>7000</v>
      </c>
      <c r="C286" s="37" t="s">
        <v>413</v>
      </c>
      <c r="D286" s="37" t="s">
        <v>414</v>
      </c>
      <c r="E286" s="37" t="s">
        <v>220</v>
      </c>
      <c r="F286" s="37" t="s">
        <v>221</v>
      </c>
      <c r="G286" s="37" t="str">
        <f t="shared" si="4"/>
        <v>AR7000</v>
      </c>
    </row>
    <row r="287" spans="1:7" x14ac:dyDescent="0.25">
      <c r="A287" s="37">
        <v>4174</v>
      </c>
      <c r="B287" s="37">
        <v>7054</v>
      </c>
      <c r="C287" s="37" t="s">
        <v>415</v>
      </c>
      <c r="D287" s="37" t="s">
        <v>416</v>
      </c>
      <c r="E287" s="37" t="s">
        <v>220</v>
      </c>
      <c r="F287" s="37" t="s">
        <v>228</v>
      </c>
      <c r="G287" s="37" t="str">
        <f t="shared" si="4"/>
        <v>AR7054</v>
      </c>
    </row>
    <row r="288" spans="1:7" x14ac:dyDescent="0.25">
      <c r="A288" s="37">
        <v>4231</v>
      </c>
      <c r="B288" s="37">
        <v>7453</v>
      </c>
      <c r="C288" s="37" t="s">
        <v>417</v>
      </c>
      <c r="D288" s="37" t="s">
        <v>418</v>
      </c>
      <c r="E288" s="37" t="s">
        <v>220</v>
      </c>
      <c r="F288" s="37" t="s">
        <v>228</v>
      </c>
      <c r="G288" s="37" t="str">
        <f t="shared" si="4"/>
        <v>AR7453</v>
      </c>
    </row>
    <row r="289" spans="1:7" x14ac:dyDescent="0.25">
      <c r="A289" s="37">
        <v>4209</v>
      </c>
      <c r="B289" s="37">
        <v>7511</v>
      </c>
      <c r="C289" s="37" t="s">
        <v>419</v>
      </c>
      <c r="D289" s="37" t="s">
        <v>420</v>
      </c>
      <c r="E289" s="37" t="s">
        <v>220</v>
      </c>
      <c r="F289" s="37" t="s">
        <v>228</v>
      </c>
      <c r="G289" s="37" t="str">
        <f t="shared" si="4"/>
        <v>AR7511</v>
      </c>
    </row>
    <row r="290" spans="1:7" x14ac:dyDescent="0.25">
      <c r="A290" s="37">
        <v>4665</v>
      </c>
      <c r="B290" s="37">
        <v>7509</v>
      </c>
      <c r="C290" s="37" t="s">
        <v>421</v>
      </c>
      <c r="D290" s="37" t="s">
        <v>422</v>
      </c>
      <c r="E290" s="37" t="s">
        <v>220</v>
      </c>
      <c r="F290" s="37" t="s">
        <v>244</v>
      </c>
      <c r="G290" s="37" t="str">
        <f t="shared" si="4"/>
        <v>AR7509</v>
      </c>
    </row>
    <row r="291" spans="1:7" x14ac:dyDescent="0.25">
      <c r="A291" s="37">
        <v>4657</v>
      </c>
      <c r="B291" s="37">
        <v>7825</v>
      </c>
      <c r="C291" s="37" t="s">
        <v>423</v>
      </c>
      <c r="D291" s="37" t="s">
        <v>424</v>
      </c>
      <c r="E291" s="37" t="s">
        <v>220</v>
      </c>
      <c r="F291" s="37" t="s">
        <v>244</v>
      </c>
      <c r="G291" s="37" t="str">
        <f t="shared" si="4"/>
        <v>AR7825</v>
      </c>
    </row>
    <row r="292" spans="1:7" x14ac:dyDescent="0.25">
      <c r="A292" s="37">
        <v>5971</v>
      </c>
      <c r="B292" s="37" t="s">
        <v>387</v>
      </c>
      <c r="C292" s="37" t="s">
        <v>425</v>
      </c>
      <c r="D292" s="37" t="s">
        <v>426</v>
      </c>
      <c r="E292" s="37" t="s">
        <v>220</v>
      </c>
      <c r="F292" s="37" t="s">
        <v>244</v>
      </c>
      <c r="G292" s="37" t="str">
        <f t="shared" si="4"/>
        <v>TBC</v>
      </c>
    </row>
    <row r="293" spans="1:7" x14ac:dyDescent="0.25">
      <c r="A293" s="37">
        <v>665</v>
      </c>
      <c r="B293" s="37">
        <v>5286</v>
      </c>
      <c r="C293" s="37" t="s">
        <v>4343</v>
      </c>
      <c r="D293" s="37" t="s">
        <v>4344</v>
      </c>
      <c r="E293" s="37" t="s">
        <v>9</v>
      </c>
      <c r="F293" s="37" t="s">
        <v>10</v>
      </c>
      <c r="G293" s="37" t="str">
        <f t="shared" si="4"/>
        <v>AR5286</v>
      </c>
    </row>
    <row r="294" spans="1:7" x14ac:dyDescent="0.25">
      <c r="A294" s="37">
        <v>3564</v>
      </c>
      <c r="B294" s="37">
        <v>6470</v>
      </c>
      <c r="C294" s="37" t="s">
        <v>4345</v>
      </c>
      <c r="D294" s="37" t="s">
        <v>4346</v>
      </c>
      <c r="E294" s="37" t="s">
        <v>9</v>
      </c>
      <c r="F294" s="37" t="s">
        <v>83</v>
      </c>
      <c r="G294" s="37" t="str">
        <f t="shared" si="4"/>
        <v>AR6470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E304"/>
  <sheetViews>
    <sheetView workbookViewId="0">
      <selection activeCell="C21" sqref="C21"/>
    </sheetView>
  </sheetViews>
  <sheetFormatPr defaultColWidth="7.140625" defaultRowHeight="15" x14ac:dyDescent="0.25"/>
  <cols>
    <col min="1" max="1" width="10.28515625" customWidth="1"/>
    <col min="2" max="2" width="15.5703125" customWidth="1"/>
    <col min="3" max="3" width="56.42578125" bestFit="1" customWidth="1"/>
    <col min="4" max="4" width="11.7109375" customWidth="1"/>
    <col min="5" max="5" width="15.140625" bestFit="1" customWidth="1"/>
    <col min="6" max="6" width="32.28515625" bestFit="1" customWidth="1"/>
    <col min="7" max="7" width="24.42578125" customWidth="1"/>
    <col min="8" max="31" width="14" customWidth="1"/>
  </cols>
  <sheetData>
    <row r="1" spans="1:31" x14ac:dyDescent="0.25">
      <c r="H1" s="294" t="s">
        <v>389</v>
      </c>
      <c r="I1" s="294"/>
      <c r="J1" s="294"/>
      <c r="K1" s="294"/>
      <c r="L1" s="294"/>
      <c r="M1" s="294"/>
      <c r="N1" s="294"/>
      <c r="O1" s="294"/>
      <c r="P1" s="294" t="s">
        <v>386</v>
      </c>
      <c r="Q1" s="294"/>
      <c r="R1" s="294"/>
      <c r="S1" s="294"/>
      <c r="T1" s="294"/>
      <c r="U1" s="294"/>
      <c r="V1" s="294"/>
      <c r="W1" s="294"/>
      <c r="X1" s="294" t="s">
        <v>808</v>
      </c>
      <c r="Y1" s="294"/>
      <c r="Z1" s="294"/>
      <c r="AA1" s="294"/>
      <c r="AB1" s="294"/>
      <c r="AC1" s="294"/>
      <c r="AD1" s="294"/>
      <c r="AE1" s="294"/>
    </row>
    <row r="2" spans="1:31" ht="30.75" customHeight="1" x14ac:dyDescent="0.25">
      <c r="A2" s="1" t="s">
        <v>0</v>
      </c>
      <c r="B2" s="2" t="s">
        <v>1</v>
      </c>
      <c r="C2" s="2" t="s">
        <v>2</v>
      </c>
      <c r="D2" s="2" t="s">
        <v>3</v>
      </c>
      <c r="E2" s="2" t="s">
        <v>4</v>
      </c>
      <c r="F2" s="2" t="s">
        <v>5</v>
      </c>
      <c r="G2" s="3" t="s">
        <v>6</v>
      </c>
      <c r="H2" s="15" t="s">
        <v>344</v>
      </c>
      <c r="I2" s="15" t="s">
        <v>345</v>
      </c>
      <c r="J2" s="15" t="s">
        <v>346</v>
      </c>
      <c r="K2" s="15" t="s">
        <v>347</v>
      </c>
      <c r="L2" s="15" t="s">
        <v>348</v>
      </c>
      <c r="M2" s="15" t="s">
        <v>349</v>
      </c>
      <c r="N2" s="15" t="s">
        <v>350</v>
      </c>
      <c r="O2" s="15" t="s">
        <v>351</v>
      </c>
      <c r="P2" s="16" t="s">
        <v>378</v>
      </c>
      <c r="Q2" s="16" t="s">
        <v>379</v>
      </c>
      <c r="R2" s="16" t="s">
        <v>384</v>
      </c>
      <c r="S2" s="16" t="s">
        <v>385</v>
      </c>
      <c r="T2" s="16" t="s">
        <v>380</v>
      </c>
      <c r="U2" s="16" t="s">
        <v>381</v>
      </c>
      <c r="V2" s="16" t="s">
        <v>382</v>
      </c>
      <c r="W2" s="17" t="s">
        <v>383</v>
      </c>
      <c r="X2" s="72"/>
      <c r="Y2" s="72"/>
      <c r="Z2" s="72"/>
      <c r="AA2" s="72"/>
      <c r="AB2" s="72"/>
      <c r="AC2" s="72"/>
      <c r="AD2" s="72"/>
      <c r="AE2" s="73"/>
    </row>
    <row r="3" spans="1:31" ht="15" customHeight="1" x14ac:dyDescent="0.25">
      <c r="A3" s="18">
        <v>4</v>
      </c>
      <c r="B3" s="19">
        <v>5090</v>
      </c>
      <c r="C3" s="19" t="s">
        <v>7</v>
      </c>
      <c r="D3" s="19" t="s">
        <v>8</v>
      </c>
      <c r="E3" s="19" t="s">
        <v>9</v>
      </c>
      <c r="F3" s="19" t="s">
        <v>10</v>
      </c>
      <c r="G3" s="20" t="str">
        <f>IF(LEN(ElecLkUp[[#This Row],[Ledger Code]])&gt;3,"AR"&amp;ElecLkUp[[#This Row],[Ledger Code]],"TBC")</f>
        <v>AR5090</v>
      </c>
      <c r="H3" s="114">
        <v>7560</v>
      </c>
      <c r="I3" s="114">
        <v>12051</v>
      </c>
      <c r="J3" s="114">
        <v>12195</v>
      </c>
      <c r="K3" s="114">
        <v>12960</v>
      </c>
      <c r="L3" s="114">
        <v>11772</v>
      </c>
      <c r="M3" s="114">
        <v>12195</v>
      </c>
      <c r="N3" s="114">
        <v>1.0000000000000001E-5</v>
      </c>
      <c r="O3" s="114">
        <v>29949</v>
      </c>
      <c r="P3" s="41">
        <v>726.84999999999934</v>
      </c>
      <c r="Q3" s="41">
        <v>4864.369999999999</v>
      </c>
      <c r="R3" s="41">
        <v>2577.19</v>
      </c>
      <c r="S3" s="41">
        <v>18234.5</v>
      </c>
      <c r="T3" s="41">
        <v>6711.8300000000036</v>
      </c>
      <c r="U3" s="41">
        <v>919.35</v>
      </c>
      <c r="V3" s="41">
        <v>11284.490000000002</v>
      </c>
      <c r="W3" s="41">
        <v>3418.9599999999996</v>
      </c>
      <c r="X3" s="36">
        <v>7560</v>
      </c>
      <c r="Y3" s="36">
        <v>12051</v>
      </c>
      <c r="Z3" s="36">
        <v>12195</v>
      </c>
      <c r="AA3" s="36">
        <v>12960</v>
      </c>
      <c r="AB3" s="36">
        <v>11772</v>
      </c>
      <c r="AC3" s="36">
        <v>12195</v>
      </c>
      <c r="AD3" s="36">
        <v>0</v>
      </c>
      <c r="AE3" s="36">
        <v>29949</v>
      </c>
    </row>
    <row r="4" spans="1:31" ht="15" customHeight="1" x14ac:dyDescent="0.25">
      <c r="A4" s="18">
        <v>10</v>
      </c>
      <c r="B4" s="19">
        <v>5104</v>
      </c>
      <c r="C4" s="19" t="s">
        <v>11</v>
      </c>
      <c r="D4" s="19" t="s">
        <v>12</v>
      </c>
      <c r="E4" s="19" t="s">
        <v>9</v>
      </c>
      <c r="F4" s="19" t="s">
        <v>10</v>
      </c>
      <c r="G4" s="20" t="str">
        <f>IF(LEN(ElecLkUp[[#This Row],[Ledger Code]])&gt;3,"AR"&amp;ElecLkUp[[#This Row],[Ledger Code]],"TBC")</f>
        <v>AR5104</v>
      </c>
      <c r="H4" s="114">
        <v>125983.2</v>
      </c>
      <c r="I4" s="114">
        <v>130727.8</v>
      </c>
      <c r="J4" s="114">
        <v>133524.1</v>
      </c>
      <c r="K4" s="114">
        <v>130969.7</v>
      </c>
      <c r="L4" s="114">
        <v>129053.4</v>
      </c>
      <c r="M4" s="114">
        <v>126004.7</v>
      </c>
      <c r="N4" s="114">
        <v>42626.3</v>
      </c>
      <c r="O4" s="114">
        <v>0</v>
      </c>
      <c r="P4" s="41">
        <v>660.32</v>
      </c>
      <c r="Q4" s="41">
        <v>5109.6500000000015</v>
      </c>
      <c r="R4" s="41">
        <v>0</v>
      </c>
      <c r="S4" s="41">
        <v>49241.14</v>
      </c>
      <c r="T4" s="41">
        <v>20052.599999999999</v>
      </c>
      <c r="U4" s="41">
        <v>9459.989999999998</v>
      </c>
      <c r="V4" s="41">
        <v>14595.670000000002</v>
      </c>
      <c r="W4" s="41">
        <v>4748.5199999999995</v>
      </c>
      <c r="X4" s="36">
        <v>125983.2</v>
      </c>
      <c r="Y4" s="36">
        <v>130727.8</v>
      </c>
      <c r="Z4" s="36">
        <v>133524.1</v>
      </c>
      <c r="AA4" s="36">
        <v>130969.7</v>
      </c>
      <c r="AB4" s="36">
        <v>129053.4</v>
      </c>
      <c r="AC4" s="36">
        <v>126004.7</v>
      </c>
      <c r="AD4" s="36">
        <v>42626.3</v>
      </c>
      <c r="AE4" s="36">
        <v>0</v>
      </c>
    </row>
    <row r="5" spans="1:31" ht="15" customHeight="1" x14ac:dyDescent="0.25">
      <c r="A5" s="18">
        <v>167</v>
      </c>
      <c r="B5" s="19">
        <v>5146</v>
      </c>
      <c r="C5" s="19" t="s">
        <v>13</v>
      </c>
      <c r="D5" s="19" t="s">
        <v>14</v>
      </c>
      <c r="E5" s="19" t="s">
        <v>9</v>
      </c>
      <c r="F5" s="19" t="s">
        <v>10</v>
      </c>
      <c r="G5" s="20" t="str">
        <f>IF(LEN(ElecLkUp[[#This Row],[Ledger Code]])&gt;3,"AR"&amp;ElecLkUp[[#This Row],[Ledger Code]],"TBC")</f>
        <v>AR5146</v>
      </c>
      <c r="H5" s="114">
        <v>0</v>
      </c>
      <c r="I5" s="114">
        <v>0</v>
      </c>
      <c r="J5" s="114">
        <v>138601</v>
      </c>
      <c r="K5" s="114">
        <v>56842</v>
      </c>
      <c r="L5" s="114">
        <v>53062</v>
      </c>
      <c r="M5" s="114">
        <v>46076</v>
      </c>
      <c r="N5" s="114">
        <v>20593</v>
      </c>
      <c r="O5" s="114">
        <v>72151</v>
      </c>
      <c r="P5" s="41">
        <v>0</v>
      </c>
      <c r="Q5" s="41">
        <v>0</v>
      </c>
      <c r="R5" s="41">
        <v>16536.239999999998</v>
      </c>
      <c r="S5" s="41">
        <v>7317.0500000000011</v>
      </c>
      <c r="T5" s="41">
        <v>12043.670000000002</v>
      </c>
      <c r="U5" s="41">
        <v>318.98000000000116</v>
      </c>
      <c r="V5" s="41">
        <v>4478.2899999999991</v>
      </c>
      <c r="W5" s="41">
        <v>2802.87</v>
      </c>
      <c r="X5" s="36">
        <v>0</v>
      </c>
      <c r="Y5" s="36">
        <v>0</v>
      </c>
      <c r="Z5" s="36">
        <v>138601</v>
      </c>
      <c r="AA5" s="36">
        <v>56842</v>
      </c>
      <c r="AB5" s="36">
        <v>53062</v>
      </c>
      <c r="AC5" s="36">
        <v>46076</v>
      </c>
      <c r="AD5" s="36">
        <v>222562</v>
      </c>
      <c r="AE5" s="36">
        <v>245878</v>
      </c>
    </row>
    <row r="6" spans="1:31" ht="15" customHeight="1" x14ac:dyDescent="0.25">
      <c r="A6" s="18">
        <v>190</v>
      </c>
      <c r="B6" s="19">
        <v>5182</v>
      </c>
      <c r="C6" s="19" t="s">
        <v>15</v>
      </c>
      <c r="D6" s="19" t="s">
        <v>16</v>
      </c>
      <c r="E6" s="19" t="s">
        <v>9</v>
      </c>
      <c r="F6" s="19" t="s">
        <v>10</v>
      </c>
      <c r="G6" s="20" t="str">
        <f>IF(LEN(ElecLkUp[[#This Row],[Ledger Code]])&gt;3,"AR"&amp;ElecLkUp[[#This Row],[Ledger Code]],"TBC")</f>
        <v>AR5182</v>
      </c>
      <c r="H6" s="114">
        <v>184153.5</v>
      </c>
      <c r="I6" s="114">
        <v>185617.9</v>
      </c>
      <c r="J6" s="114">
        <v>196025.7</v>
      </c>
      <c r="K6" s="114">
        <v>190824.5</v>
      </c>
      <c r="L6" s="114">
        <v>183502.7</v>
      </c>
      <c r="M6" s="114">
        <v>178358.6</v>
      </c>
      <c r="N6" s="114">
        <v>63132.1</v>
      </c>
      <c r="O6" s="114">
        <v>0</v>
      </c>
      <c r="P6" s="41">
        <v>0</v>
      </c>
      <c r="Q6" s="41">
        <v>36538.189999999995</v>
      </c>
      <c r="R6" s="41">
        <v>23120.769999999997</v>
      </c>
      <c r="S6" s="41">
        <v>23372.019999999997</v>
      </c>
      <c r="T6" s="41">
        <v>22401.649999999998</v>
      </c>
      <c r="U6" s="41">
        <v>22015.89</v>
      </c>
      <c r="V6" s="41">
        <v>29796.159999999996</v>
      </c>
      <c r="W6" s="41">
        <v>221.08000000000175</v>
      </c>
      <c r="X6" s="36">
        <v>184153.5</v>
      </c>
      <c r="Y6" s="36">
        <v>185617.9</v>
      </c>
      <c r="Z6" s="36">
        <v>196025.7</v>
      </c>
      <c r="AA6" s="36">
        <v>190824.5</v>
      </c>
      <c r="AB6" s="36">
        <v>183502.7</v>
      </c>
      <c r="AC6" s="36">
        <v>178358.6</v>
      </c>
      <c r="AD6" s="36">
        <v>63132.1</v>
      </c>
      <c r="AE6" s="36">
        <v>0</v>
      </c>
    </row>
    <row r="7" spans="1:31" ht="15" customHeight="1" x14ac:dyDescent="0.25">
      <c r="A7" s="18">
        <v>199</v>
      </c>
      <c r="B7" s="19">
        <v>5205</v>
      </c>
      <c r="C7" s="19" t="s">
        <v>17</v>
      </c>
      <c r="D7" s="19" t="s">
        <v>18</v>
      </c>
      <c r="E7" s="19" t="s">
        <v>9</v>
      </c>
      <c r="F7" s="19" t="s">
        <v>10</v>
      </c>
      <c r="G7" s="20" t="str">
        <f>IF(LEN(ElecLkUp[[#This Row],[Ledger Code]])&gt;3,"AR"&amp;ElecLkUp[[#This Row],[Ledger Code]],"TBC")</f>
        <v>AR5205</v>
      </c>
      <c r="H7" s="114"/>
      <c r="I7" s="114"/>
      <c r="J7" s="114"/>
      <c r="K7" s="114"/>
      <c r="L7" s="114"/>
      <c r="M7" s="114"/>
      <c r="N7" s="114"/>
      <c r="O7" s="114"/>
      <c r="P7" s="41">
        <v>0</v>
      </c>
      <c r="Q7" s="41">
        <v>0</v>
      </c>
      <c r="R7" s="41">
        <v>14782.879999999997</v>
      </c>
      <c r="S7" s="41">
        <v>8967.61</v>
      </c>
      <c r="T7" s="41">
        <v>8627.9599999999991</v>
      </c>
      <c r="U7" s="41">
        <v>2362.8199999999979</v>
      </c>
      <c r="V7" s="41">
        <v>6128.0599999999995</v>
      </c>
      <c r="W7" s="41">
        <v>2070.7299999999968</v>
      </c>
      <c r="X7" s="36"/>
      <c r="Y7" s="36"/>
      <c r="Z7" s="36"/>
      <c r="AA7" s="36"/>
      <c r="AB7" s="36"/>
      <c r="AC7" s="36"/>
      <c r="AD7" s="36"/>
      <c r="AE7" s="36"/>
    </row>
    <row r="8" spans="1:31" ht="15" customHeight="1" x14ac:dyDescent="0.25">
      <c r="A8" s="18">
        <v>243</v>
      </c>
      <c r="B8" s="19">
        <v>5041</v>
      </c>
      <c r="C8" s="19" t="s">
        <v>19</v>
      </c>
      <c r="D8" s="19" t="s">
        <v>20</v>
      </c>
      <c r="E8" s="19" t="s">
        <v>9</v>
      </c>
      <c r="F8" s="19" t="s">
        <v>10</v>
      </c>
      <c r="G8" s="20" t="str">
        <f>IF(LEN(ElecLkUp[[#This Row],[Ledger Code]])&gt;3,"AR"&amp;ElecLkUp[[#This Row],[Ledger Code]],"TBC")</f>
        <v>AR5041</v>
      </c>
      <c r="H8" s="114"/>
      <c r="I8" s="114"/>
      <c r="J8" s="114"/>
      <c r="K8" s="114"/>
      <c r="L8" s="114"/>
      <c r="M8" s="114"/>
      <c r="N8" s="114"/>
      <c r="O8" s="114"/>
      <c r="P8" s="41">
        <v>0</v>
      </c>
      <c r="Q8" s="41">
        <v>0</v>
      </c>
      <c r="R8" s="41">
        <v>0</v>
      </c>
      <c r="S8" s="41">
        <v>0</v>
      </c>
      <c r="T8" s="41">
        <v>0</v>
      </c>
      <c r="U8" s="41">
        <v>0</v>
      </c>
      <c r="V8" s="41">
        <v>0</v>
      </c>
      <c r="W8" s="41">
        <v>0</v>
      </c>
      <c r="X8" s="36"/>
      <c r="Y8" s="36"/>
      <c r="Z8" s="36"/>
      <c r="AA8" s="36"/>
      <c r="AB8" s="36"/>
      <c r="AC8" s="36"/>
      <c r="AD8" s="36"/>
      <c r="AE8" s="36"/>
    </row>
    <row r="9" spans="1:31" ht="15" customHeight="1" x14ac:dyDescent="0.25">
      <c r="A9" s="18">
        <v>251</v>
      </c>
      <c r="B9" s="19">
        <v>5057</v>
      </c>
      <c r="C9" s="19" t="s">
        <v>21</v>
      </c>
      <c r="D9" s="19" t="s">
        <v>22</v>
      </c>
      <c r="E9" s="19" t="s">
        <v>9</v>
      </c>
      <c r="F9" s="19" t="s">
        <v>10</v>
      </c>
      <c r="G9" s="20" t="str">
        <f>IF(LEN(ElecLkUp[[#This Row],[Ledger Code]])&gt;3,"AR"&amp;ElecLkUp[[#This Row],[Ledger Code]],"TBC")</f>
        <v>AR5057</v>
      </c>
      <c r="H9" s="114"/>
      <c r="I9" s="114"/>
      <c r="J9" s="114"/>
      <c r="K9" s="114"/>
      <c r="L9" s="114"/>
      <c r="M9" s="114"/>
      <c r="N9" s="114"/>
      <c r="O9" s="114"/>
      <c r="P9" s="41">
        <v>0</v>
      </c>
      <c r="Q9" s="41">
        <v>0</v>
      </c>
      <c r="R9" s="41">
        <v>0</v>
      </c>
      <c r="S9" s="41">
        <v>0</v>
      </c>
      <c r="T9" s="41">
        <v>0</v>
      </c>
      <c r="U9" s="41">
        <v>0</v>
      </c>
      <c r="V9" s="41">
        <v>0</v>
      </c>
      <c r="W9" s="41">
        <v>0</v>
      </c>
      <c r="X9" s="36"/>
      <c r="Y9" s="36"/>
      <c r="Z9" s="36"/>
      <c r="AA9" s="36"/>
      <c r="AB9" s="36"/>
      <c r="AC9" s="36"/>
      <c r="AD9" s="36"/>
      <c r="AE9" s="36"/>
    </row>
    <row r="10" spans="1:31" ht="15" customHeight="1" x14ac:dyDescent="0.25">
      <c r="A10" s="18">
        <v>255</v>
      </c>
      <c r="B10" s="19">
        <v>5055</v>
      </c>
      <c r="C10" s="19" t="s">
        <v>23</v>
      </c>
      <c r="D10" s="19" t="s">
        <v>22</v>
      </c>
      <c r="E10" s="19" t="s">
        <v>9</v>
      </c>
      <c r="F10" s="19" t="s">
        <v>10</v>
      </c>
      <c r="G10" s="20" t="str">
        <f>IF(LEN(ElecLkUp[[#This Row],[Ledger Code]])&gt;3,"AR"&amp;ElecLkUp[[#This Row],[Ledger Code]],"TBC")</f>
        <v>AR5055</v>
      </c>
      <c r="H10" s="114"/>
      <c r="I10" s="114"/>
      <c r="J10" s="114"/>
      <c r="K10" s="114"/>
      <c r="L10" s="114"/>
      <c r="M10" s="114"/>
      <c r="N10" s="114"/>
      <c r="O10" s="114"/>
      <c r="P10" s="41">
        <v>0</v>
      </c>
      <c r="Q10" s="41">
        <v>3757.18</v>
      </c>
      <c r="R10" s="41">
        <v>4185.24</v>
      </c>
      <c r="S10" s="41">
        <v>4737.04</v>
      </c>
      <c r="T10" s="41">
        <v>5320.6100000000015</v>
      </c>
      <c r="U10" s="41">
        <v>4543.26</v>
      </c>
      <c r="V10" s="41">
        <v>3739.9399999999987</v>
      </c>
      <c r="W10" s="41">
        <v>0</v>
      </c>
      <c r="X10" s="36"/>
      <c r="Y10" s="36"/>
      <c r="Z10" s="36"/>
      <c r="AA10" s="36"/>
      <c r="AB10" s="36"/>
      <c r="AC10" s="36"/>
      <c r="AD10" s="36"/>
      <c r="AE10" s="36"/>
    </row>
    <row r="11" spans="1:31" ht="15" customHeight="1" x14ac:dyDescent="0.25">
      <c r="A11" s="18">
        <v>388</v>
      </c>
      <c r="B11" s="19">
        <v>9029</v>
      </c>
      <c r="C11" s="19" t="s">
        <v>24</v>
      </c>
      <c r="D11" s="19" t="s">
        <v>25</v>
      </c>
      <c r="E11" s="19" t="s">
        <v>26</v>
      </c>
      <c r="F11" s="19" t="s">
        <v>27</v>
      </c>
      <c r="G11" s="20" t="str">
        <f>IF(LEN(ElecLkUp[[#This Row],[Ledger Code]])&gt;3,"AR"&amp;ElecLkUp[[#This Row],[Ledger Code]],"TBC")</f>
        <v>AR9029</v>
      </c>
      <c r="H11" s="114">
        <v>4932.3099999999995</v>
      </c>
      <c r="I11" s="114">
        <v>7124.5</v>
      </c>
      <c r="J11" s="114">
        <v>7553.9900000000007</v>
      </c>
      <c r="K11" s="114">
        <v>7818.8700000000008</v>
      </c>
      <c r="L11" s="114">
        <v>7214.1299999999992</v>
      </c>
      <c r="M11" s="114">
        <v>7314</v>
      </c>
      <c r="N11" s="114">
        <v>7718.1299999999992</v>
      </c>
      <c r="O11" s="114"/>
      <c r="P11" s="41">
        <v>0</v>
      </c>
      <c r="Q11" s="41">
        <v>760.28</v>
      </c>
      <c r="R11" s="41">
        <v>0</v>
      </c>
      <c r="S11" s="41">
        <v>2077.3000000000002</v>
      </c>
      <c r="T11" s="41">
        <v>1217.76</v>
      </c>
      <c r="U11" s="41">
        <v>1136.3499999999999</v>
      </c>
      <c r="V11" s="41">
        <v>1147.3</v>
      </c>
      <c r="W11" s="41">
        <v>1209.5999999999999</v>
      </c>
      <c r="X11" s="36"/>
      <c r="Y11" s="36"/>
      <c r="Z11" s="36"/>
      <c r="AA11" s="36"/>
      <c r="AB11" s="36"/>
      <c r="AC11" s="36"/>
      <c r="AD11" s="36"/>
      <c r="AE11" s="36"/>
    </row>
    <row r="12" spans="1:31" ht="15" customHeight="1" x14ac:dyDescent="0.25">
      <c r="A12" s="18">
        <v>409</v>
      </c>
      <c r="B12" s="19">
        <v>8009</v>
      </c>
      <c r="C12" s="19" t="s">
        <v>28</v>
      </c>
      <c r="D12" s="19" t="s">
        <v>29</v>
      </c>
      <c r="E12" s="19" t="s">
        <v>26</v>
      </c>
      <c r="F12" s="19" t="s">
        <v>27</v>
      </c>
      <c r="G12" s="20" t="str">
        <f>IF(LEN(ElecLkUp[[#This Row],[Ledger Code]])&gt;3,"AR"&amp;ElecLkUp[[#This Row],[Ledger Code]],"TBC")</f>
        <v>AR8009</v>
      </c>
      <c r="H12" s="114">
        <v>261520.6</v>
      </c>
      <c r="I12" s="114">
        <v>265845.5</v>
      </c>
      <c r="J12" s="114">
        <v>292371.5</v>
      </c>
      <c r="K12" s="114">
        <v>302462.3</v>
      </c>
      <c r="L12" s="114">
        <v>263222.40000000002</v>
      </c>
      <c r="M12" s="114">
        <v>254137.5</v>
      </c>
      <c r="N12" s="114">
        <v>98008</v>
      </c>
      <c r="O12" s="114">
        <v>27595</v>
      </c>
      <c r="P12" s="41">
        <v>602.1</v>
      </c>
      <c r="Q12" s="41">
        <v>52334.189999999995</v>
      </c>
      <c r="R12" s="41">
        <v>35432.43</v>
      </c>
      <c r="S12" s="41">
        <v>39495.07</v>
      </c>
      <c r="T12" s="41">
        <v>34352.81</v>
      </c>
      <c r="U12" s="41">
        <v>31005.380000000005</v>
      </c>
      <c r="V12" s="41">
        <v>34286.42</v>
      </c>
      <c r="W12" s="41">
        <v>13826.400000000003</v>
      </c>
      <c r="X12" s="36">
        <v>0</v>
      </c>
      <c r="Y12" s="36">
        <v>19361</v>
      </c>
      <c r="Z12" s="36">
        <v>8303</v>
      </c>
      <c r="AA12" s="36">
        <v>12429</v>
      </c>
      <c r="AB12" s="36">
        <v>6600</v>
      </c>
      <c r="AC12" s="36">
        <v>5654</v>
      </c>
      <c r="AD12" s="36">
        <v>204786</v>
      </c>
      <c r="AE12" s="36">
        <v>189685</v>
      </c>
    </row>
    <row r="13" spans="1:31" ht="15" customHeight="1" x14ac:dyDescent="0.25">
      <c r="A13" s="18">
        <v>424</v>
      </c>
      <c r="B13" s="19">
        <v>8044</v>
      </c>
      <c r="C13" s="19" t="s">
        <v>30</v>
      </c>
      <c r="D13" s="19" t="s">
        <v>31</v>
      </c>
      <c r="E13" s="19" t="s">
        <v>26</v>
      </c>
      <c r="F13" s="19" t="s">
        <v>27</v>
      </c>
      <c r="G13" s="20" t="str">
        <f>IF(LEN(ElecLkUp[[#This Row],[Ledger Code]])&gt;3,"AR"&amp;ElecLkUp[[#This Row],[Ledger Code]],"TBC")</f>
        <v>AR8044</v>
      </c>
      <c r="H13" s="114">
        <v>150439.4</v>
      </c>
      <c r="I13" s="114">
        <v>160859</v>
      </c>
      <c r="J13" s="114">
        <v>159201.4</v>
      </c>
      <c r="K13" s="114">
        <v>153332</v>
      </c>
      <c r="L13" s="114">
        <v>153308.4</v>
      </c>
      <c r="M13" s="114">
        <v>162199.6</v>
      </c>
      <c r="N13" s="114">
        <v>52630.400000000001</v>
      </c>
      <c r="O13" s="114">
        <v>0</v>
      </c>
      <c r="P13" s="41">
        <v>0</v>
      </c>
      <c r="Q13" s="41">
        <v>6834.42</v>
      </c>
      <c r="R13" s="41">
        <v>55989.55</v>
      </c>
      <c r="S13" s="41">
        <v>20225.53</v>
      </c>
      <c r="T13" s="41">
        <v>20879.48</v>
      </c>
      <c r="U13" s="41">
        <v>22479.789999999997</v>
      </c>
      <c r="V13" s="41">
        <v>21229.93</v>
      </c>
      <c r="W13" s="41">
        <v>7380.7899999999991</v>
      </c>
      <c r="X13" s="36">
        <v>150439.4</v>
      </c>
      <c r="Y13" s="36">
        <v>160859</v>
      </c>
      <c r="Z13" s="36">
        <v>159201.4</v>
      </c>
      <c r="AA13" s="36">
        <v>153332</v>
      </c>
      <c r="AB13" s="36">
        <v>153308.4</v>
      </c>
      <c r="AC13" s="36">
        <v>162199.6</v>
      </c>
      <c r="AD13" s="36">
        <v>52630.400000000001</v>
      </c>
      <c r="AE13" s="36">
        <v>0</v>
      </c>
    </row>
    <row r="14" spans="1:31" ht="15" customHeight="1" x14ac:dyDescent="0.25">
      <c r="A14" s="18">
        <v>444</v>
      </c>
      <c r="B14" s="19">
        <v>8084</v>
      </c>
      <c r="C14" s="19" t="s">
        <v>329</v>
      </c>
      <c r="D14" s="19" t="s">
        <v>330</v>
      </c>
      <c r="E14" s="19" t="s">
        <v>26</v>
      </c>
      <c r="F14" s="19" t="s">
        <v>27</v>
      </c>
      <c r="G14" s="20" t="str">
        <f>IF(LEN(ElecLkUp[[#This Row],[Ledger Code]])&gt;3,"AR"&amp;ElecLkUp[[#This Row],[Ledger Code]],"TBC")</f>
        <v>AR8084</v>
      </c>
      <c r="H14" s="114">
        <v>0</v>
      </c>
      <c r="I14" s="114">
        <v>0</v>
      </c>
      <c r="J14" s="114">
        <v>46123</v>
      </c>
      <c r="K14" s="114">
        <v>15784</v>
      </c>
      <c r="L14" s="114">
        <v>17356</v>
      </c>
      <c r="M14" s="114">
        <v>14918</v>
      </c>
      <c r="N14" s="114">
        <v>5532</v>
      </c>
      <c r="O14" s="114">
        <v>14976</v>
      </c>
      <c r="P14" s="41">
        <v>693.43000000000006</v>
      </c>
      <c r="Q14" s="41">
        <v>-693.43</v>
      </c>
      <c r="R14" s="41">
        <v>5614.65</v>
      </c>
      <c r="S14" s="41">
        <v>1924.5300000000002</v>
      </c>
      <c r="T14" s="41">
        <v>2169.59</v>
      </c>
      <c r="U14" s="41">
        <v>1900.2199999999998</v>
      </c>
      <c r="V14" s="41">
        <v>1138.79</v>
      </c>
      <c r="W14" s="41">
        <v>1966.4299999999998</v>
      </c>
      <c r="X14" s="36">
        <v>0</v>
      </c>
      <c r="Y14" s="36">
        <v>0</v>
      </c>
      <c r="Z14" s="36">
        <v>46123</v>
      </c>
      <c r="AA14" s="36">
        <v>15784</v>
      </c>
      <c r="AB14" s="36">
        <v>17356</v>
      </c>
      <c r="AC14" s="36">
        <v>14918</v>
      </c>
      <c r="AD14" s="36">
        <v>207501</v>
      </c>
      <c r="AE14" s="36">
        <v>188703</v>
      </c>
    </row>
    <row r="15" spans="1:31" ht="15" customHeight="1" x14ac:dyDescent="0.25">
      <c r="A15" s="18">
        <v>448</v>
      </c>
      <c r="B15" s="19">
        <v>8079</v>
      </c>
      <c r="C15" s="19" t="s">
        <v>32</v>
      </c>
      <c r="D15" s="19" t="s">
        <v>33</v>
      </c>
      <c r="E15" s="19" t="s">
        <v>26</v>
      </c>
      <c r="F15" s="19" t="s">
        <v>27</v>
      </c>
      <c r="G15" s="20" t="str">
        <f>IF(LEN(ElecLkUp[[#This Row],[Ledger Code]])&gt;3,"AR"&amp;ElecLkUp[[#This Row],[Ledger Code]],"TBC")</f>
        <v>AR8079</v>
      </c>
      <c r="H15" s="114"/>
      <c r="I15" s="114"/>
      <c r="J15" s="114"/>
      <c r="K15" s="114"/>
      <c r="L15" s="114"/>
      <c r="M15" s="114"/>
      <c r="N15" s="114"/>
      <c r="O15" s="114"/>
      <c r="P15" s="41">
        <v>0</v>
      </c>
      <c r="Q15" s="41">
        <v>0</v>
      </c>
      <c r="R15" s="41">
        <v>0</v>
      </c>
      <c r="S15" s="41">
        <v>0</v>
      </c>
      <c r="T15" s="41">
        <v>0</v>
      </c>
      <c r="U15" s="41">
        <v>0</v>
      </c>
      <c r="V15" s="41">
        <v>0</v>
      </c>
      <c r="W15" s="41">
        <v>0</v>
      </c>
      <c r="X15" s="36" t="s">
        <v>352</v>
      </c>
      <c r="Y15" s="36" t="s">
        <v>352</v>
      </c>
      <c r="Z15" s="36" t="s">
        <v>352</v>
      </c>
      <c r="AA15" s="36" t="s">
        <v>352</v>
      </c>
      <c r="AB15" s="36" t="s">
        <v>352</v>
      </c>
      <c r="AC15" s="36" t="s">
        <v>352</v>
      </c>
      <c r="AD15" s="36" t="s">
        <v>352</v>
      </c>
      <c r="AE15" s="36" t="s">
        <v>352</v>
      </c>
    </row>
    <row r="16" spans="1:31" ht="15" customHeight="1" x14ac:dyDescent="0.25">
      <c r="A16" s="18">
        <v>458</v>
      </c>
      <c r="B16" s="19">
        <v>9026</v>
      </c>
      <c r="C16" s="19" t="s">
        <v>34</v>
      </c>
      <c r="D16" s="19" t="s">
        <v>35</v>
      </c>
      <c r="E16" s="19" t="s">
        <v>26</v>
      </c>
      <c r="F16" s="19" t="s">
        <v>27</v>
      </c>
      <c r="G16" s="20" t="str">
        <f>IF(LEN(ElecLkUp[[#This Row],[Ledger Code]])&gt;3,"AR"&amp;ElecLkUp[[#This Row],[Ledger Code]],"TBC")</f>
        <v>AR9026</v>
      </c>
      <c r="H16" s="114">
        <v>97518.7</v>
      </c>
      <c r="I16" s="114">
        <v>99526.7</v>
      </c>
      <c r="J16" s="114">
        <v>107656</v>
      </c>
      <c r="K16" s="114">
        <v>105887.2</v>
      </c>
      <c r="L16" s="114">
        <v>102076.2</v>
      </c>
      <c r="M16" s="114">
        <v>103310.9</v>
      </c>
      <c r="N16" s="114">
        <v>37381.1</v>
      </c>
      <c r="O16" s="114">
        <v>0</v>
      </c>
      <c r="P16" s="41">
        <v>0</v>
      </c>
      <c r="Q16" s="41">
        <v>0</v>
      </c>
      <c r="R16" s="41">
        <v>0</v>
      </c>
      <c r="S16" s="41">
        <v>45158.78</v>
      </c>
      <c r="T16" s="41">
        <v>13122.929999999997</v>
      </c>
      <c r="U16" s="41">
        <v>12077.58</v>
      </c>
      <c r="V16" s="41">
        <v>12683.170000000002</v>
      </c>
      <c r="W16" s="41">
        <v>4376.9899999999989</v>
      </c>
      <c r="X16" s="36">
        <v>97518.7</v>
      </c>
      <c r="Y16" s="36">
        <v>99526.7</v>
      </c>
      <c r="Z16" s="36">
        <v>107656</v>
      </c>
      <c r="AA16" s="36">
        <v>105887.2</v>
      </c>
      <c r="AB16" s="36">
        <v>102076.2</v>
      </c>
      <c r="AC16" s="36">
        <v>103310.9</v>
      </c>
      <c r="AD16" s="36">
        <v>37381.1</v>
      </c>
      <c r="AE16" s="36">
        <v>0</v>
      </c>
    </row>
    <row r="17" spans="1:31" ht="15" customHeight="1" x14ac:dyDescent="0.25">
      <c r="A17" s="18">
        <v>622</v>
      </c>
      <c r="B17" s="19">
        <v>5336</v>
      </c>
      <c r="C17" s="19" t="s">
        <v>36</v>
      </c>
      <c r="D17" s="19" t="s">
        <v>37</v>
      </c>
      <c r="E17" s="19" t="s">
        <v>9</v>
      </c>
      <c r="F17" s="19" t="s">
        <v>10</v>
      </c>
      <c r="G17" s="20" t="str">
        <f>IF(LEN(ElecLkUp[[#This Row],[Ledger Code]])&gt;3,"AR"&amp;ElecLkUp[[#This Row],[Ledger Code]],"TBC")</f>
        <v>AR5336</v>
      </c>
      <c r="H17" s="114">
        <v>24184.6</v>
      </c>
      <c r="I17" s="114">
        <v>23632.799999999999</v>
      </c>
      <c r="J17" s="114">
        <v>27035.4</v>
      </c>
      <c r="K17" s="114">
        <v>27317.5</v>
      </c>
      <c r="L17" s="114">
        <v>24171.4</v>
      </c>
      <c r="M17" s="114">
        <v>24759.8</v>
      </c>
      <c r="N17" s="114">
        <v>8633.9</v>
      </c>
      <c r="O17" s="114">
        <v>0</v>
      </c>
      <c r="P17" s="41">
        <v>0</v>
      </c>
      <c r="Q17" s="41">
        <v>544.79999999999995</v>
      </c>
      <c r="R17" s="41">
        <v>0</v>
      </c>
      <c r="S17" s="41">
        <v>13564.089999999997</v>
      </c>
      <c r="T17" s="41">
        <v>-2236.4499999999994</v>
      </c>
      <c r="U17" s="41">
        <v>9453.4900000000016</v>
      </c>
      <c r="V17" s="41">
        <v>9546.5399999999972</v>
      </c>
      <c r="W17" s="41">
        <v>-4621.329999999999</v>
      </c>
      <c r="X17" s="36">
        <v>24184.6</v>
      </c>
      <c r="Y17" s="36">
        <v>23632.799999999999</v>
      </c>
      <c r="Z17" s="36">
        <v>27035.4</v>
      </c>
      <c r="AA17" s="36">
        <v>27317.5</v>
      </c>
      <c r="AB17" s="36">
        <v>24171.4</v>
      </c>
      <c r="AC17" s="36">
        <v>24759.8</v>
      </c>
      <c r="AD17" s="36">
        <v>8633.9</v>
      </c>
      <c r="AE17" s="36">
        <v>0</v>
      </c>
    </row>
    <row r="18" spans="1:31" ht="15" customHeight="1" x14ac:dyDescent="0.25">
      <c r="A18" s="18">
        <v>624</v>
      </c>
      <c r="B18" s="19">
        <v>5338</v>
      </c>
      <c r="C18" s="19" t="s">
        <v>38</v>
      </c>
      <c r="D18" s="19" t="s">
        <v>39</v>
      </c>
      <c r="E18" s="19" t="s">
        <v>9</v>
      </c>
      <c r="F18" s="19" t="s">
        <v>10</v>
      </c>
      <c r="G18" s="20" t="str">
        <f>IF(LEN(ElecLkUp[[#This Row],[Ledger Code]])&gt;3,"AR"&amp;ElecLkUp[[#This Row],[Ledger Code]],"TBC")</f>
        <v>AR5338</v>
      </c>
      <c r="H18" s="114"/>
      <c r="I18" s="114"/>
      <c r="J18" s="114"/>
      <c r="K18" s="114"/>
      <c r="L18" s="114"/>
      <c r="M18" s="114"/>
      <c r="N18" s="114"/>
      <c r="O18" s="114"/>
      <c r="P18" s="41">
        <v>538.97</v>
      </c>
      <c r="Q18" s="41">
        <v>13600.189999999999</v>
      </c>
      <c r="R18" s="41">
        <v>0</v>
      </c>
      <c r="S18" s="41">
        <v>-142.73000000000206</v>
      </c>
      <c r="T18" s="41">
        <v>0</v>
      </c>
      <c r="U18" s="41">
        <v>272.40000000000657</v>
      </c>
      <c r="V18" s="41">
        <v>0</v>
      </c>
      <c r="W18" s="41">
        <v>0</v>
      </c>
      <c r="X18" s="36" t="s">
        <v>352</v>
      </c>
      <c r="Y18" s="36" t="s">
        <v>352</v>
      </c>
      <c r="Z18" s="36" t="s">
        <v>352</v>
      </c>
      <c r="AA18" s="36" t="s">
        <v>352</v>
      </c>
      <c r="AB18" s="36" t="s">
        <v>352</v>
      </c>
      <c r="AC18" s="36" t="s">
        <v>352</v>
      </c>
      <c r="AD18" s="36" t="s">
        <v>352</v>
      </c>
      <c r="AE18" s="36" t="s">
        <v>352</v>
      </c>
    </row>
    <row r="19" spans="1:31" ht="15" customHeight="1" x14ac:dyDescent="0.25">
      <c r="A19" s="18">
        <v>664</v>
      </c>
      <c r="B19" s="19">
        <v>5285</v>
      </c>
      <c r="C19" s="19" t="s">
        <v>40</v>
      </c>
      <c r="D19" s="19" t="s">
        <v>41</v>
      </c>
      <c r="E19" s="19" t="s">
        <v>9</v>
      </c>
      <c r="F19" s="19" t="s">
        <v>10</v>
      </c>
      <c r="G19" s="20" t="str">
        <f>IF(LEN(ElecLkUp[[#This Row],[Ledger Code]])&gt;3,"AR"&amp;ElecLkUp[[#This Row],[Ledger Code]],"TBC")</f>
        <v>AR5285</v>
      </c>
      <c r="H19" s="114">
        <v>0</v>
      </c>
      <c r="I19" s="114">
        <v>0</v>
      </c>
      <c r="J19" s="114">
        <v>0</v>
      </c>
      <c r="K19" s="114">
        <v>0</v>
      </c>
      <c r="L19" s="114">
        <v>0</v>
      </c>
      <c r="M19" s="114">
        <v>0</v>
      </c>
      <c r="N19" s="114">
        <v>0</v>
      </c>
      <c r="O19" s="114">
        <v>0</v>
      </c>
      <c r="P19" s="41">
        <v>0</v>
      </c>
      <c r="Q19" s="41">
        <v>0</v>
      </c>
      <c r="R19" s="41">
        <v>33828.75</v>
      </c>
      <c r="S19" s="41">
        <v>84500.430000000008</v>
      </c>
      <c r="T19" s="41">
        <v>-19819.989999999998</v>
      </c>
      <c r="U19" s="41">
        <v>90402.240000000005</v>
      </c>
      <c r="V19" s="41">
        <v>54685.259999999987</v>
      </c>
      <c r="W19" s="41">
        <v>-28971.380000000005</v>
      </c>
      <c r="X19" s="36">
        <v>0</v>
      </c>
      <c r="Y19" s="36">
        <v>0</v>
      </c>
      <c r="Z19" s="36">
        <v>0</v>
      </c>
      <c r="AA19" s="36">
        <v>9058</v>
      </c>
      <c r="AB19" s="36">
        <v>32172</v>
      </c>
      <c r="AC19" s="36">
        <v>55831</v>
      </c>
      <c r="AD19" s="36">
        <v>201969</v>
      </c>
      <c r="AE19" s="36">
        <v>88655</v>
      </c>
    </row>
    <row r="20" spans="1:31" ht="15" customHeight="1" x14ac:dyDescent="0.25">
      <c r="A20" s="18">
        <v>726</v>
      </c>
      <c r="B20" s="19">
        <v>5317</v>
      </c>
      <c r="C20" s="19" t="s">
        <v>42</v>
      </c>
      <c r="D20" s="19" t="s">
        <v>43</v>
      </c>
      <c r="E20" s="19" t="s">
        <v>9</v>
      </c>
      <c r="F20" s="19" t="s">
        <v>10</v>
      </c>
      <c r="G20" s="20" t="str">
        <f>IF(LEN(ElecLkUp[[#This Row],[Ledger Code]])&gt;3,"AR"&amp;ElecLkUp[[#This Row],[Ledger Code]],"TBC")</f>
        <v>AR5317</v>
      </c>
      <c r="H20" s="114">
        <v>0</v>
      </c>
      <c r="I20" s="114">
        <v>0</v>
      </c>
      <c r="J20" s="114">
        <v>0</v>
      </c>
      <c r="K20" s="114">
        <v>36498</v>
      </c>
      <c r="L20" s="114">
        <v>0</v>
      </c>
      <c r="M20" s="114">
        <v>19412</v>
      </c>
      <c r="N20" s="114">
        <v>-5843</v>
      </c>
      <c r="O20" s="114">
        <v>19231</v>
      </c>
      <c r="P20" s="41">
        <v>0</v>
      </c>
      <c r="Q20" s="41">
        <v>0</v>
      </c>
      <c r="R20" s="41">
        <v>0</v>
      </c>
      <c r="S20" s="41">
        <v>4519.1800000000067</v>
      </c>
      <c r="T20" s="41">
        <v>1384.4099999999999</v>
      </c>
      <c r="U20" s="41">
        <v>1152.7599999999989</v>
      </c>
      <c r="V20" s="41">
        <v>7062.4699999999957</v>
      </c>
      <c r="W20" s="41">
        <v>-5349.7999999999975</v>
      </c>
      <c r="X20" s="36">
        <v>0</v>
      </c>
      <c r="Y20" s="36">
        <v>0</v>
      </c>
      <c r="Z20" s="36">
        <v>0</v>
      </c>
      <c r="AA20" s="36">
        <v>36498</v>
      </c>
      <c r="AB20" s="36">
        <v>0</v>
      </c>
      <c r="AC20" s="36">
        <v>19412</v>
      </c>
      <c r="AD20" s="36">
        <v>196126</v>
      </c>
      <c r="AE20" s="36">
        <v>192958</v>
      </c>
    </row>
    <row r="21" spans="1:31" ht="15" customHeight="1" x14ac:dyDescent="0.25">
      <c r="A21" s="18">
        <v>758</v>
      </c>
      <c r="B21" s="19">
        <v>5527</v>
      </c>
      <c r="C21" s="19" t="s">
        <v>44</v>
      </c>
      <c r="D21" s="19" t="s">
        <v>45</v>
      </c>
      <c r="E21" s="19" t="s">
        <v>9</v>
      </c>
      <c r="F21" s="19" t="s">
        <v>10</v>
      </c>
      <c r="G21" s="20" t="str">
        <f>IF(LEN(ElecLkUp[[#This Row],[Ledger Code]])&gt;3,"AR"&amp;ElecLkUp[[#This Row],[Ledger Code]],"TBC")</f>
        <v>AR5527</v>
      </c>
      <c r="H21" s="114">
        <v>132534</v>
      </c>
      <c r="I21" s="114">
        <v>143872.20000000001</v>
      </c>
      <c r="J21" s="114">
        <v>150249.70000000001</v>
      </c>
      <c r="K21" s="114">
        <v>156115.5</v>
      </c>
      <c r="L21" s="114">
        <v>148788.70000000001</v>
      </c>
      <c r="M21" s="114">
        <v>143320.6</v>
      </c>
      <c r="N21" s="114">
        <v>50229.8</v>
      </c>
      <c r="O21" s="114">
        <v>9.9999999999999994E-12</v>
      </c>
      <c r="P21" s="41">
        <v>0</v>
      </c>
      <c r="Q21" s="41">
        <v>27038.649999999998</v>
      </c>
      <c r="R21" s="41">
        <v>16822.5</v>
      </c>
      <c r="S21" s="41">
        <v>18074.939999999999</v>
      </c>
      <c r="T21" s="41">
        <v>-13213.220000000005</v>
      </c>
      <c r="U21" s="41">
        <v>49131.25</v>
      </c>
      <c r="V21" s="41">
        <v>49059.310000000005</v>
      </c>
      <c r="W21" s="41">
        <v>-25086.200000000004</v>
      </c>
      <c r="X21" s="36">
        <v>132534</v>
      </c>
      <c r="Y21" s="36">
        <v>143872.20000000001</v>
      </c>
      <c r="Z21" s="36">
        <v>150249.70000000001</v>
      </c>
      <c r="AA21" s="36">
        <v>156115.5</v>
      </c>
      <c r="AB21" s="36">
        <v>148788.70000000001</v>
      </c>
      <c r="AC21" s="36">
        <v>143320.6</v>
      </c>
      <c r="AD21" s="36">
        <v>50229.8</v>
      </c>
      <c r="AE21" s="36">
        <v>0</v>
      </c>
    </row>
    <row r="22" spans="1:31" ht="15" customHeight="1" x14ac:dyDescent="0.25">
      <c r="A22" s="18">
        <v>822</v>
      </c>
      <c r="B22" s="19">
        <v>8141</v>
      </c>
      <c r="C22" s="19" t="s">
        <v>46</v>
      </c>
      <c r="D22" s="19" t="s">
        <v>47</v>
      </c>
      <c r="E22" s="19" t="s">
        <v>26</v>
      </c>
      <c r="F22" s="19" t="s">
        <v>48</v>
      </c>
      <c r="G22" s="20" t="str">
        <f>IF(LEN(ElecLkUp[[#This Row],[Ledger Code]])&gt;3,"AR"&amp;ElecLkUp[[#This Row],[Ledger Code]],"TBC")</f>
        <v>AR8141</v>
      </c>
      <c r="H22" s="114"/>
      <c r="I22" s="114"/>
      <c r="J22" s="114"/>
      <c r="K22" s="114"/>
      <c r="L22" s="114"/>
      <c r="M22" s="114"/>
      <c r="N22" s="114"/>
      <c r="O22" s="114"/>
      <c r="P22" s="41">
        <v>0</v>
      </c>
      <c r="Q22" s="41">
        <v>0</v>
      </c>
      <c r="R22" s="41">
        <v>0</v>
      </c>
      <c r="S22" s="41">
        <v>0</v>
      </c>
      <c r="T22" s="41">
        <v>0</v>
      </c>
      <c r="U22" s="41">
        <v>0</v>
      </c>
      <c r="V22" s="41">
        <v>0</v>
      </c>
      <c r="W22" s="41">
        <v>0</v>
      </c>
      <c r="X22" s="36" t="s">
        <v>352</v>
      </c>
      <c r="Y22" s="36" t="s">
        <v>352</v>
      </c>
      <c r="Z22" s="36" t="s">
        <v>352</v>
      </c>
      <c r="AA22" s="36" t="s">
        <v>352</v>
      </c>
      <c r="AB22" s="36" t="s">
        <v>352</v>
      </c>
      <c r="AC22" s="36" t="s">
        <v>352</v>
      </c>
      <c r="AD22" s="36" t="s">
        <v>352</v>
      </c>
      <c r="AE22" s="36" t="s">
        <v>352</v>
      </c>
    </row>
    <row r="23" spans="1:31" ht="15" customHeight="1" x14ac:dyDescent="0.25">
      <c r="A23" s="18">
        <v>843</v>
      </c>
      <c r="B23" s="19">
        <v>8176</v>
      </c>
      <c r="C23" s="19" t="s">
        <v>49</v>
      </c>
      <c r="D23" s="19" t="s">
        <v>50</v>
      </c>
      <c r="E23" s="19" t="s">
        <v>26</v>
      </c>
      <c r="F23" s="19" t="s">
        <v>48</v>
      </c>
      <c r="G23" s="20" t="str">
        <f>IF(LEN(ElecLkUp[[#This Row],[Ledger Code]])&gt;3,"AR"&amp;ElecLkUp[[#This Row],[Ledger Code]],"TBC")</f>
        <v>AR8176</v>
      </c>
      <c r="H23" s="114"/>
      <c r="I23" s="114"/>
      <c r="J23" s="114"/>
      <c r="K23" s="114"/>
      <c r="L23" s="114"/>
      <c r="M23" s="114"/>
      <c r="N23" s="114"/>
      <c r="O23" s="114"/>
      <c r="P23" s="41">
        <v>0</v>
      </c>
      <c r="Q23" s="41">
        <v>0</v>
      </c>
      <c r="R23" s="41">
        <v>0</v>
      </c>
      <c r="S23" s="41">
        <v>0</v>
      </c>
      <c r="T23" s="41">
        <v>0</v>
      </c>
      <c r="U23" s="41">
        <v>0</v>
      </c>
      <c r="V23" s="41">
        <v>0</v>
      </c>
      <c r="W23" s="41">
        <v>0</v>
      </c>
      <c r="X23" s="36" t="s">
        <v>352</v>
      </c>
      <c r="Y23" s="36" t="s">
        <v>352</v>
      </c>
      <c r="Z23" s="36" t="s">
        <v>352</v>
      </c>
      <c r="AA23" s="36" t="s">
        <v>352</v>
      </c>
      <c r="AB23" s="36" t="s">
        <v>352</v>
      </c>
      <c r="AC23" s="36" t="s">
        <v>352</v>
      </c>
      <c r="AD23" s="36" t="s">
        <v>352</v>
      </c>
      <c r="AE23" s="36" t="s">
        <v>352</v>
      </c>
    </row>
    <row r="24" spans="1:31" ht="15" customHeight="1" x14ac:dyDescent="0.25">
      <c r="A24" s="18">
        <v>881</v>
      </c>
      <c r="B24" s="19">
        <v>8118</v>
      </c>
      <c r="C24" s="19" t="s">
        <v>51</v>
      </c>
      <c r="D24" s="19" t="s">
        <v>52</v>
      </c>
      <c r="E24" s="19" t="s">
        <v>26</v>
      </c>
      <c r="F24" s="19" t="s">
        <v>48</v>
      </c>
      <c r="G24" s="20" t="str">
        <f>IF(LEN(ElecLkUp[[#This Row],[Ledger Code]])&gt;3,"AR"&amp;ElecLkUp[[#This Row],[Ledger Code]],"TBC")</f>
        <v>AR8118</v>
      </c>
      <c r="H24" s="114"/>
      <c r="I24" s="114"/>
      <c r="J24" s="114"/>
      <c r="K24" s="114"/>
      <c r="L24" s="114"/>
      <c r="M24" s="114"/>
      <c r="N24" s="114"/>
      <c r="O24" s="114"/>
      <c r="P24" s="41">
        <v>0</v>
      </c>
      <c r="Q24" s="41">
        <v>30342.65</v>
      </c>
      <c r="R24" s="41">
        <v>28428.249999999993</v>
      </c>
      <c r="S24" s="41">
        <v>32217.119999999995</v>
      </c>
      <c r="T24" s="41">
        <v>-15339.39</v>
      </c>
      <c r="U24" s="41">
        <v>23736.559999999998</v>
      </c>
      <c r="V24" s="41">
        <v>39088.320000000007</v>
      </c>
      <c r="W24" s="41">
        <v>0</v>
      </c>
      <c r="X24" s="36" t="s">
        <v>352</v>
      </c>
      <c r="Y24" s="36" t="s">
        <v>352</v>
      </c>
      <c r="Z24" s="36" t="s">
        <v>352</v>
      </c>
      <c r="AA24" s="36" t="s">
        <v>352</v>
      </c>
      <c r="AB24" s="36" t="s">
        <v>352</v>
      </c>
      <c r="AC24" s="36" t="s">
        <v>352</v>
      </c>
      <c r="AD24" s="36" t="s">
        <v>352</v>
      </c>
      <c r="AE24" s="36" t="s">
        <v>352</v>
      </c>
    </row>
    <row r="25" spans="1:31" ht="15" customHeight="1" x14ac:dyDescent="0.25">
      <c r="A25" s="18">
        <v>913</v>
      </c>
      <c r="B25" s="19">
        <v>8176</v>
      </c>
      <c r="C25" s="19" t="s">
        <v>49</v>
      </c>
      <c r="D25" s="19" t="s">
        <v>50</v>
      </c>
      <c r="E25" s="19" t="s">
        <v>26</v>
      </c>
      <c r="F25" s="19" t="s">
        <v>48</v>
      </c>
      <c r="G25" s="20" t="str">
        <f>IF(LEN(ElecLkUp[[#This Row],[Ledger Code]])&gt;3,"AR"&amp;ElecLkUp[[#This Row],[Ledger Code]],"TBC")</f>
        <v>AR8176</v>
      </c>
      <c r="H25" s="114"/>
      <c r="I25" s="114"/>
      <c r="J25" s="114"/>
      <c r="K25" s="114"/>
      <c r="L25" s="114"/>
      <c r="M25" s="114"/>
      <c r="N25" s="114"/>
      <c r="O25" s="114"/>
      <c r="P25" s="41">
        <v>0</v>
      </c>
      <c r="Q25" s="41">
        <v>0</v>
      </c>
      <c r="R25" s="41">
        <v>0</v>
      </c>
      <c r="S25" s="41">
        <v>0</v>
      </c>
      <c r="T25" s="41">
        <v>0</v>
      </c>
      <c r="U25" s="41">
        <v>0</v>
      </c>
      <c r="V25" s="41">
        <v>0</v>
      </c>
      <c r="W25" s="41">
        <v>0</v>
      </c>
      <c r="X25" s="36" t="s">
        <v>352</v>
      </c>
      <c r="Y25" s="36" t="s">
        <v>352</v>
      </c>
      <c r="Z25" s="36" t="s">
        <v>352</v>
      </c>
      <c r="AA25" s="36" t="s">
        <v>352</v>
      </c>
      <c r="AB25" s="36" t="s">
        <v>352</v>
      </c>
      <c r="AC25" s="36" t="s">
        <v>352</v>
      </c>
      <c r="AD25" s="36" t="s">
        <v>352</v>
      </c>
      <c r="AE25" s="36" t="s">
        <v>352</v>
      </c>
    </row>
    <row r="26" spans="1:31" ht="15" customHeight="1" x14ac:dyDescent="0.25">
      <c r="A26" s="18">
        <v>923</v>
      </c>
      <c r="B26" s="19">
        <v>8181</v>
      </c>
      <c r="C26" s="19" t="s">
        <v>53</v>
      </c>
      <c r="D26" s="19" t="s">
        <v>54</v>
      </c>
      <c r="E26" s="19" t="s">
        <v>26</v>
      </c>
      <c r="F26" s="19" t="s">
        <v>48</v>
      </c>
      <c r="G26" s="20" t="str">
        <f>IF(LEN(ElecLkUp[[#This Row],[Ledger Code]])&gt;3,"AR"&amp;ElecLkUp[[#This Row],[Ledger Code]],"TBC")</f>
        <v>AR8181</v>
      </c>
      <c r="H26" s="114">
        <v>0</v>
      </c>
      <c r="I26" s="114">
        <v>0</v>
      </c>
      <c r="J26" s="114">
        <v>0</v>
      </c>
      <c r="K26" s="114">
        <v>0</v>
      </c>
      <c r="L26" s="114">
        <v>0</v>
      </c>
      <c r="M26" s="114">
        <v>0</v>
      </c>
      <c r="N26" s="114">
        <v>0</v>
      </c>
      <c r="O26" s="114">
        <v>0</v>
      </c>
      <c r="P26" s="41">
        <v>0</v>
      </c>
      <c r="Q26" s="41">
        <v>0</v>
      </c>
      <c r="R26" s="41">
        <v>48993.35</v>
      </c>
      <c r="S26" s="41">
        <v>18378.88</v>
      </c>
      <c r="T26" s="41">
        <v>-67372.229999999981</v>
      </c>
      <c r="U26" s="41">
        <v>12992.739999999991</v>
      </c>
      <c r="V26" s="41">
        <v>0</v>
      </c>
      <c r="W26" s="41">
        <v>-1.4551915228366852E-11</v>
      </c>
      <c r="X26" s="36">
        <v>0</v>
      </c>
      <c r="Y26" s="36">
        <v>0</v>
      </c>
      <c r="Z26" s="36">
        <v>0</v>
      </c>
      <c r="AA26" s="36">
        <v>0</v>
      </c>
      <c r="AB26" s="36">
        <v>0</v>
      </c>
      <c r="AC26" s="36">
        <v>0</v>
      </c>
      <c r="AD26" s="36">
        <v>201969</v>
      </c>
      <c r="AE26" s="36">
        <v>173727</v>
      </c>
    </row>
    <row r="27" spans="1:31" ht="15" customHeight="1" x14ac:dyDescent="0.25">
      <c r="A27" s="18">
        <v>995</v>
      </c>
      <c r="B27" s="19">
        <v>2505</v>
      </c>
      <c r="C27" s="19" t="s">
        <v>55</v>
      </c>
      <c r="D27" s="19" t="s">
        <v>56</v>
      </c>
      <c r="E27" s="19" t="s">
        <v>57</v>
      </c>
      <c r="F27" s="19" t="s">
        <v>58</v>
      </c>
      <c r="G27" s="20" t="str">
        <f>IF(LEN(ElecLkUp[[#This Row],[Ledger Code]])&gt;3,"AR"&amp;ElecLkUp[[#This Row],[Ledger Code]],"TBC")</f>
        <v>AR2505</v>
      </c>
      <c r="H27" s="114">
        <v>0</v>
      </c>
      <c r="I27" s="114">
        <v>0</v>
      </c>
      <c r="J27" s="114">
        <v>94011</v>
      </c>
      <c r="K27" s="114">
        <v>44709</v>
      </c>
      <c r="L27" s="114">
        <v>43617</v>
      </c>
      <c r="M27" s="114">
        <v>35461</v>
      </c>
      <c r="N27" s="114">
        <v>14882</v>
      </c>
      <c r="O27" s="114">
        <v>39989</v>
      </c>
      <c r="P27" s="41">
        <v>0</v>
      </c>
      <c r="Q27" s="41">
        <v>0</v>
      </c>
      <c r="R27" s="41">
        <v>12670.23</v>
      </c>
      <c r="S27" s="41">
        <v>6843.5400000000009</v>
      </c>
      <c r="T27" s="41">
        <v>5924.4400000000005</v>
      </c>
      <c r="U27" s="41">
        <v>9877.909999999998</v>
      </c>
      <c r="V27" s="41">
        <v>4127.4499999999989</v>
      </c>
      <c r="W27" s="41">
        <v>5747.9900000000007</v>
      </c>
      <c r="X27" s="36">
        <v>0</v>
      </c>
      <c r="Y27" s="36">
        <v>0</v>
      </c>
      <c r="Z27" s="36">
        <v>94011</v>
      </c>
      <c r="AA27" s="36">
        <v>44709</v>
      </c>
      <c r="AB27" s="36">
        <v>43617</v>
      </c>
      <c r="AC27" s="36">
        <v>35461</v>
      </c>
      <c r="AD27" s="36">
        <v>216851</v>
      </c>
      <c r="AE27" s="36">
        <v>213716</v>
      </c>
    </row>
    <row r="28" spans="1:31" ht="15" customHeight="1" x14ac:dyDescent="0.25">
      <c r="A28" s="18">
        <v>997</v>
      </c>
      <c r="B28" s="19">
        <v>2507</v>
      </c>
      <c r="C28" s="19" t="s">
        <v>59</v>
      </c>
      <c r="D28" s="19" t="s">
        <v>60</v>
      </c>
      <c r="E28" s="19" t="s">
        <v>57</v>
      </c>
      <c r="F28" s="19" t="s">
        <v>58</v>
      </c>
      <c r="G28" s="20" t="str">
        <f>IF(LEN(ElecLkUp[[#This Row],[Ledger Code]])&gt;3,"AR"&amp;ElecLkUp[[#This Row],[Ledger Code]],"TBC")</f>
        <v>AR2507</v>
      </c>
      <c r="H28" s="114"/>
      <c r="I28" s="114"/>
      <c r="J28" s="114"/>
      <c r="K28" s="114"/>
      <c r="L28" s="114"/>
      <c r="M28" s="114"/>
      <c r="N28" s="114"/>
      <c r="O28" s="114"/>
      <c r="P28" s="41">
        <v>0</v>
      </c>
      <c r="Q28" s="41">
        <v>3248.9400000000005</v>
      </c>
      <c r="R28" s="41">
        <v>0</v>
      </c>
      <c r="S28" s="41">
        <v>4967.4400000000005</v>
      </c>
      <c r="T28" s="41">
        <v>2327.75</v>
      </c>
      <c r="U28" s="41">
        <v>2239.04</v>
      </c>
      <c r="V28" s="41">
        <v>2616.9299999999998</v>
      </c>
      <c r="W28" s="41">
        <v>1512.19</v>
      </c>
      <c r="X28" s="36" t="s">
        <v>352</v>
      </c>
      <c r="Y28" s="36" t="s">
        <v>352</v>
      </c>
      <c r="Z28" s="36" t="s">
        <v>352</v>
      </c>
      <c r="AA28" s="36" t="s">
        <v>352</v>
      </c>
      <c r="AB28" s="36" t="s">
        <v>352</v>
      </c>
      <c r="AC28" s="36" t="s">
        <v>352</v>
      </c>
      <c r="AD28" s="36" t="s">
        <v>352</v>
      </c>
      <c r="AE28" s="36" t="s">
        <v>352</v>
      </c>
    </row>
    <row r="29" spans="1:31" ht="15" customHeight="1" x14ac:dyDescent="0.25">
      <c r="A29" s="18">
        <v>1038</v>
      </c>
      <c r="B29" s="19">
        <v>2586</v>
      </c>
      <c r="C29" s="19" t="s">
        <v>61</v>
      </c>
      <c r="D29" s="19" t="s">
        <v>62</v>
      </c>
      <c r="E29" s="19" t="s">
        <v>57</v>
      </c>
      <c r="F29" s="19" t="s">
        <v>58</v>
      </c>
      <c r="G29" s="20" t="str">
        <f>IF(LEN(ElecLkUp[[#This Row],[Ledger Code]])&gt;3,"AR"&amp;ElecLkUp[[#This Row],[Ledger Code]],"TBC")</f>
        <v>AR2586</v>
      </c>
      <c r="H29" s="114"/>
      <c r="I29" s="114"/>
      <c r="J29" s="114"/>
      <c r="K29" s="114"/>
      <c r="L29" s="114"/>
      <c r="M29" s="114"/>
      <c r="N29" s="114"/>
      <c r="O29" s="114"/>
      <c r="P29" s="41">
        <v>0</v>
      </c>
      <c r="Q29" s="41">
        <v>19091.760000000002</v>
      </c>
      <c r="R29" s="41">
        <v>14272.810000000001</v>
      </c>
      <c r="S29" s="41">
        <v>17144.810000000005</v>
      </c>
      <c r="T29" s="41">
        <v>3686.0700000000011</v>
      </c>
      <c r="U29" s="41">
        <v>11955.8</v>
      </c>
      <c r="V29" s="41">
        <v>21243.75</v>
      </c>
      <c r="W29" s="41">
        <v>13740.989999999998</v>
      </c>
      <c r="X29" s="36" t="s">
        <v>352</v>
      </c>
      <c r="Y29" s="36" t="s">
        <v>352</v>
      </c>
      <c r="Z29" s="36" t="s">
        <v>352</v>
      </c>
      <c r="AA29" s="36" t="s">
        <v>352</v>
      </c>
      <c r="AB29" s="36" t="s">
        <v>352</v>
      </c>
      <c r="AC29" s="36" t="s">
        <v>352</v>
      </c>
      <c r="AD29" s="36" t="s">
        <v>352</v>
      </c>
      <c r="AE29" s="36" t="s">
        <v>352</v>
      </c>
    </row>
    <row r="30" spans="1:31" ht="15" customHeight="1" x14ac:dyDescent="0.25">
      <c r="A30" s="18">
        <v>1046</v>
      </c>
      <c r="B30" s="19">
        <v>2574</v>
      </c>
      <c r="C30" s="19" t="s">
        <v>63</v>
      </c>
      <c r="D30" s="19" t="s">
        <v>64</v>
      </c>
      <c r="E30" s="19" t="s">
        <v>57</v>
      </c>
      <c r="F30" s="19" t="s">
        <v>58</v>
      </c>
      <c r="G30" s="20" t="str">
        <f>IF(LEN(ElecLkUp[[#This Row],[Ledger Code]])&gt;3,"AR"&amp;ElecLkUp[[#This Row],[Ledger Code]],"TBC")</f>
        <v>AR2574</v>
      </c>
      <c r="H30" s="114"/>
      <c r="I30" s="114"/>
      <c r="J30" s="114"/>
      <c r="K30" s="114"/>
      <c r="L30" s="114"/>
      <c r="M30" s="114"/>
      <c r="N30" s="114"/>
      <c r="O30" s="114"/>
      <c r="P30" s="41">
        <v>0</v>
      </c>
      <c r="Q30" s="41">
        <v>0</v>
      </c>
      <c r="R30" s="41">
        <v>0</v>
      </c>
      <c r="S30" s="130">
        <v>88740</v>
      </c>
      <c r="T30" s="41">
        <v>-5.4569682106375694E-12</v>
      </c>
      <c r="U30" s="130">
        <v>0</v>
      </c>
      <c r="V30" s="130">
        <v>0</v>
      </c>
      <c r="W30" s="130">
        <v>88740</v>
      </c>
      <c r="X30" s="36" t="s">
        <v>352</v>
      </c>
      <c r="Y30" s="36" t="s">
        <v>352</v>
      </c>
      <c r="Z30" s="36" t="s">
        <v>352</v>
      </c>
      <c r="AA30" s="36" t="s">
        <v>352</v>
      </c>
      <c r="AB30" s="36" t="s">
        <v>352</v>
      </c>
      <c r="AC30" s="36" t="s">
        <v>352</v>
      </c>
      <c r="AD30" s="36" t="s">
        <v>352</v>
      </c>
      <c r="AE30" s="36" t="s">
        <v>352</v>
      </c>
    </row>
    <row r="31" spans="1:31" ht="15" customHeight="1" x14ac:dyDescent="0.25">
      <c r="A31" s="18">
        <v>1049</v>
      </c>
      <c r="B31" s="19">
        <v>2586</v>
      </c>
      <c r="C31" s="19" t="s">
        <v>65</v>
      </c>
      <c r="D31" s="19" t="s">
        <v>62</v>
      </c>
      <c r="E31" s="19" t="s">
        <v>57</v>
      </c>
      <c r="F31" s="19" t="s">
        <v>58</v>
      </c>
      <c r="G31" s="20" t="str">
        <f>IF(LEN(ElecLkUp[[#This Row],[Ledger Code]])&gt;3,"AR"&amp;ElecLkUp[[#This Row],[Ledger Code]],"TBC")</f>
        <v>AR2586</v>
      </c>
      <c r="H31" s="114"/>
      <c r="I31" s="114"/>
      <c r="J31" s="114"/>
      <c r="K31" s="114"/>
      <c r="L31" s="114"/>
      <c r="M31" s="114"/>
      <c r="N31" s="114"/>
      <c r="O31" s="114"/>
      <c r="P31" s="41">
        <v>0</v>
      </c>
      <c r="Q31" s="41">
        <v>19091.760000000002</v>
      </c>
      <c r="R31" s="41">
        <v>14272.810000000001</v>
      </c>
      <c r="S31" s="41">
        <v>17144.810000000005</v>
      </c>
      <c r="T31" s="41">
        <v>3686.0700000000011</v>
      </c>
      <c r="U31" s="41">
        <v>11955.8</v>
      </c>
      <c r="V31" s="41">
        <v>21243.75</v>
      </c>
      <c r="W31" s="41">
        <v>13740.989999999998</v>
      </c>
      <c r="X31" s="36" t="s">
        <v>352</v>
      </c>
      <c r="Y31" s="36" t="s">
        <v>352</v>
      </c>
      <c r="Z31" s="36" t="s">
        <v>352</v>
      </c>
      <c r="AA31" s="36" t="s">
        <v>352</v>
      </c>
      <c r="AB31" s="36" t="s">
        <v>352</v>
      </c>
      <c r="AC31" s="36" t="s">
        <v>352</v>
      </c>
      <c r="AD31" s="36" t="s">
        <v>352</v>
      </c>
      <c r="AE31" s="36" t="s">
        <v>352</v>
      </c>
    </row>
    <row r="32" spans="1:31" ht="15" customHeight="1" x14ac:dyDescent="0.25">
      <c r="A32" s="18">
        <v>1070</v>
      </c>
      <c r="B32" s="19">
        <v>2625</v>
      </c>
      <c r="C32" s="19" t="s">
        <v>66</v>
      </c>
      <c r="D32" s="19" t="s">
        <v>67</v>
      </c>
      <c r="E32" s="19" t="s">
        <v>57</v>
      </c>
      <c r="F32" s="19" t="s">
        <v>58</v>
      </c>
      <c r="G32" s="20" t="str">
        <f>IF(LEN(ElecLkUp[[#This Row],[Ledger Code]])&gt;3,"AR"&amp;ElecLkUp[[#This Row],[Ledger Code]],"TBC")</f>
        <v>AR2625</v>
      </c>
      <c r="H32" s="114">
        <v>155780</v>
      </c>
      <c r="I32" s="114">
        <v>153719</v>
      </c>
      <c r="J32" s="114">
        <v>159906</v>
      </c>
      <c r="K32" s="114">
        <v>164614</v>
      </c>
      <c r="L32" s="114">
        <v>156621.5</v>
      </c>
      <c r="M32" s="114">
        <v>164162.4</v>
      </c>
      <c r="N32" s="114">
        <v>55296.9</v>
      </c>
      <c r="O32" s="114">
        <v>0</v>
      </c>
      <c r="P32" s="41">
        <v>0</v>
      </c>
      <c r="Q32" s="41">
        <v>34212.69</v>
      </c>
      <c r="R32" s="41">
        <v>20907.170000000002</v>
      </c>
      <c r="S32" s="41">
        <v>21636.05</v>
      </c>
      <c r="T32" s="41">
        <v>21985.11</v>
      </c>
      <c r="U32" s="41">
        <v>22168.92</v>
      </c>
      <c r="V32" s="41">
        <v>22360.3</v>
      </c>
      <c r="W32" s="41">
        <v>7690.1799999999994</v>
      </c>
      <c r="X32" s="36">
        <v>155780</v>
      </c>
      <c r="Y32" s="36">
        <v>153719</v>
      </c>
      <c r="Z32" s="36">
        <v>159906</v>
      </c>
      <c r="AA32" s="36">
        <v>164614</v>
      </c>
      <c r="AB32" s="36">
        <v>156621.5</v>
      </c>
      <c r="AC32" s="36">
        <v>164162.4</v>
      </c>
      <c r="AD32" s="36">
        <v>55296.9</v>
      </c>
      <c r="AE32" s="36">
        <v>0</v>
      </c>
    </row>
    <row r="33" spans="1:31" ht="15" customHeight="1" x14ac:dyDescent="0.25">
      <c r="A33" s="18">
        <v>1102</v>
      </c>
      <c r="B33" s="19">
        <v>2930</v>
      </c>
      <c r="C33" s="19" t="s">
        <v>68</v>
      </c>
      <c r="D33" s="19" t="s">
        <v>69</v>
      </c>
      <c r="E33" s="19" t="s">
        <v>57</v>
      </c>
      <c r="F33" s="19" t="s">
        <v>70</v>
      </c>
      <c r="G33" s="20" t="str">
        <f>IF(LEN(ElecLkUp[[#This Row],[Ledger Code]])&gt;3,"AR"&amp;ElecLkUp[[#This Row],[Ledger Code]],"TBC")</f>
        <v>AR2930</v>
      </c>
      <c r="H33" s="114"/>
      <c r="I33" s="114"/>
      <c r="J33" s="114"/>
      <c r="K33" s="114"/>
      <c r="L33" s="114"/>
      <c r="M33" s="114"/>
      <c r="N33" s="114"/>
      <c r="O33" s="114"/>
      <c r="P33" s="41">
        <v>0</v>
      </c>
      <c r="Q33" s="41">
        <v>0</v>
      </c>
      <c r="R33" s="41">
        <v>0</v>
      </c>
      <c r="S33" s="41">
        <v>0</v>
      </c>
      <c r="T33" s="41">
        <v>0</v>
      </c>
      <c r="U33" s="41">
        <v>0</v>
      </c>
      <c r="V33" s="41">
        <v>0</v>
      </c>
      <c r="W33" s="41">
        <v>198947</v>
      </c>
      <c r="X33" s="36" t="s">
        <v>352</v>
      </c>
      <c r="Y33" s="36" t="s">
        <v>352</v>
      </c>
      <c r="Z33" s="36" t="s">
        <v>352</v>
      </c>
      <c r="AA33" s="36" t="s">
        <v>352</v>
      </c>
      <c r="AB33" s="36" t="s">
        <v>352</v>
      </c>
      <c r="AC33" s="36" t="s">
        <v>352</v>
      </c>
      <c r="AD33" s="36" t="s">
        <v>352</v>
      </c>
      <c r="AE33" s="36" t="s">
        <v>352</v>
      </c>
    </row>
    <row r="34" spans="1:31" ht="15" customHeight="1" x14ac:dyDescent="0.25">
      <c r="A34" s="18">
        <v>1109</v>
      </c>
      <c r="B34" s="19">
        <v>2698</v>
      </c>
      <c r="C34" s="19" t="s">
        <v>71</v>
      </c>
      <c r="D34" s="19" t="s">
        <v>72</v>
      </c>
      <c r="E34" s="19" t="s">
        <v>57</v>
      </c>
      <c r="F34" s="19" t="s">
        <v>70</v>
      </c>
      <c r="G34" s="20" t="str">
        <f>IF(LEN(ElecLkUp[[#This Row],[Ledger Code]])&gt;3,"AR"&amp;ElecLkUp[[#This Row],[Ledger Code]],"TBC")</f>
        <v>AR2698</v>
      </c>
      <c r="H34" s="114"/>
      <c r="I34" s="114"/>
      <c r="J34" s="114"/>
      <c r="K34" s="114"/>
      <c r="L34" s="114"/>
      <c r="M34" s="114"/>
      <c r="N34" s="114"/>
      <c r="O34" s="114"/>
      <c r="P34" s="41"/>
      <c r="Q34" s="41">
        <v>4517.74</v>
      </c>
      <c r="R34" s="41">
        <v>5044.17</v>
      </c>
      <c r="S34" s="41">
        <v>3103.79</v>
      </c>
      <c r="T34" s="41">
        <v>6716.66</v>
      </c>
      <c r="U34" s="41">
        <v>31769.05</v>
      </c>
      <c r="V34" s="41">
        <v>2241.02</v>
      </c>
      <c r="W34" s="41"/>
      <c r="X34" s="36" t="s">
        <v>352</v>
      </c>
      <c r="Y34" s="36" t="s">
        <v>352</v>
      </c>
      <c r="Z34" s="36" t="s">
        <v>352</v>
      </c>
      <c r="AA34" s="36" t="s">
        <v>352</v>
      </c>
      <c r="AB34" s="36" t="s">
        <v>352</v>
      </c>
      <c r="AC34" s="36" t="s">
        <v>352</v>
      </c>
      <c r="AD34" s="36" t="s">
        <v>352</v>
      </c>
      <c r="AE34" s="36" t="s">
        <v>352</v>
      </c>
    </row>
    <row r="35" spans="1:31" ht="15" customHeight="1" x14ac:dyDescent="0.25">
      <c r="A35" s="18">
        <v>1112</v>
      </c>
      <c r="B35" s="19">
        <v>2701</v>
      </c>
      <c r="C35" s="19" t="s">
        <v>73</v>
      </c>
      <c r="D35" s="19" t="s">
        <v>74</v>
      </c>
      <c r="E35" s="19" t="s">
        <v>57</v>
      </c>
      <c r="F35" s="19" t="s">
        <v>70</v>
      </c>
      <c r="G35" s="20" t="str">
        <f>IF(LEN(ElecLkUp[[#This Row],[Ledger Code]])&gt;3,"AR"&amp;ElecLkUp[[#This Row],[Ledger Code]],"TBC")</f>
        <v>AR2701</v>
      </c>
      <c r="H35" s="114">
        <v>0</v>
      </c>
      <c r="I35" s="114">
        <v>26446</v>
      </c>
      <c r="J35" s="114">
        <v>19461</v>
      </c>
      <c r="K35" s="114">
        <v>19455</v>
      </c>
      <c r="L35" s="114">
        <v>17607</v>
      </c>
      <c r="M35" s="114">
        <v>15786</v>
      </c>
      <c r="N35" s="114">
        <v>12074</v>
      </c>
      <c r="O35" s="114">
        <v>21291</v>
      </c>
      <c r="P35" s="41">
        <v>0</v>
      </c>
      <c r="Q35" s="41">
        <v>3478.98</v>
      </c>
      <c r="R35" s="41">
        <v>2539.59</v>
      </c>
      <c r="S35" s="41">
        <v>2537.8599999999997</v>
      </c>
      <c r="T35" s="41">
        <v>2344.09</v>
      </c>
      <c r="U35" s="41">
        <v>2130.6</v>
      </c>
      <c r="V35" s="41">
        <v>2352.34</v>
      </c>
      <c r="W35" s="41">
        <v>2037.1900000000003</v>
      </c>
      <c r="X35" s="36">
        <v>0</v>
      </c>
      <c r="Y35" s="36">
        <v>26446</v>
      </c>
      <c r="Z35" s="36">
        <v>19461</v>
      </c>
      <c r="AA35" s="36">
        <v>19455</v>
      </c>
      <c r="AB35" s="36">
        <v>17607</v>
      </c>
      <c r="AC35" s="36">
        <v>15786</v>
      </c>
      <c r="AD35" s="36">
        <v>214043</v>
      </c>
      <c r="AE35" s="36">
        <v>195018</v>
      </c>
    </row>
    <row r="36" spans="1:31" ht="15" customHeight="1" x14ac:dyDescent="0.25">
      <c r="A36" s="18">
        <v>1142</v>
      </c>
      <c r="B36" s="19">
        <v>2729</v>
      </c>
      <c r="C36" s="19" t="s">
        <v>75</v>
      </c>
      <c r="D36" s="19" t="s">
        <v>76</v>
      </c>
      <c r="E36" s="19" t="s">
        <v>57</v>
      </c>
      <c r="F36" s="19" t="s">
        <v>70</v>
      </c>
      <c r="G36" s="20" t="str">
        <f>IF(LEN(ElecLkUp[[#This Row],[Ledger Code]])&gt;3,"AR"&amp;ElecLkUp[[#This Row],[Ledger Code]],"TBC")</f>
        <v>AR2729</v>
      </c>
      <c r="H36" s="114"/>
      <c r="I36" s="114"/>
      <c r="J36" s="114"/>
      <c r="K36" s="114"/>
      <c r="L36" s="114"/>
      <c r="M36" s="114"/>
      <c r="N36" s="114"/>
      <c r="O36" s="114"/>
      <c r="P36" s="41">
        <v>0</v>
      </c>
      <c r="Q36" s="41">
        <v>0</v>
      </c>
      <c r="R36" s="41">
        <v>2790.37</v>
      </c>
      <c r="S36" s="41">
        <v>-389.2800000000002</v>
      </c>
      <c r="T36" s="41">
        <v>3862.6400000000003</v>
      </c>
      <c r="U36" s="41">
        <v>1763.08</v>
      </c>
      <c r="V36" s="41">
        <v>1365.54</v>
      </c>
      <c r="W36" s="41">
        <v>1035.48</v>
      </c>
      <c r="X36" s="36" t="s">
        <v>352</v>
      </c>
      <c r="Y36" s="36" t="s">
        <v>352</v>
      </c>
      <c r="Z36" s="36" t="s">
        <v>352</v>
      </c>
      <c r="AA36" s="36" t="s">
        <v>352</v>
      </c>
      <c r="AB36" s="36" t="s">
        <v>352</v>
      </c>
      <c r="AC36" s="36" t="s">
        <v>352</v>
      </c>
      <c r="AD36" s="36" t="s">
        <v>352</v>
      </c>
      <c r="AE36" s="36" t="s">
        <v>352</v>
      </c>
    </row>
    <row r="37" spans="1:31" ht="15" customHeight="1" x14ac:dyDescent="0.25">
      <c r="A37" s="18">
        <v>1194</v>
      </c>
      <c r="B37" s="19">
        <v>2673</v>
      </c>
      <c r="C37" s="19" t="s">
        <v>77</v>
      </c>
      <c r="D37" s="19" t="s">
        <v>78</v>
      </c>
      <c r="E37" s="19" t="s">
        <v>57</v>
      </c>
      <c r="F37" s="19" t="s">
        <v>70</v>
      </c>
      <c r="G37" s="20" t="str">
        <f>IF(LEN(ElecLkUp[[#This Row],[Ledger Code]])&gt;3,"AR"&amp;ElecLkUp[[#This Row],[Ledger Code]],"TBC")</f>
        <v>AR2673</v>
      </c>
      <c r="H37" s="114">
        <v>31917.200000000001</v>
      </c>
      <c r="I37" s="114">
        <v>34848.9</v>
      </c>
      <c r="J37" s="114">
        <v>37919.1</v>
      </c>
      <c r="K37" s="114">
        <v>37934.699999999997</v>
      </c>
      <c r="L37" s="114">
        <v>31389.8</v>
      </c>
      <c r="M37" s="114">
        <v>30097.5</v>
      </c>
      <c r="N37" s="114">
        <v>11991.4</v>
      </c>
      <c r="O37" s="114">
        <v>0</v>
      </c>
      <c r="P37" s="41">
        <v>0</v>
      </c>
      <c r="Q37" s="41">
        <v>7254.329999999999</v>
      </c>
      <c r="R37" s="41">
        <v>4866.0199999999995</v>
      </c>
      <c r="S37" s="41">
        <v>5247.8499999999995</v>
      </c>
      <c r="T37" s="41">
        <v>4740.9500000000007</v>
      </c>
      <c r="U37" s="41">
        <v>3915.0199999999986</v>
      </c>
      <c r="V37" s="41">
        <v>4534.43</v>
      </c>
      <c r="W37" s="41">
        <v>1443.9799999999996</v>
      </c>
      <c r="X37" s="36">
        <v>31917.200000000001</v>
      </c>
      <c r="Y37" s="36">
        <v>34848.9</v>
      </c>
      <c r="Z37" s="36">
        <v>37919.1</v>
      </c>
      <c r="AA37" s="36">
        <v>37934.699999999997</v>
      </c>
      <c r="AB37" s="36">
        <v>31389.8</v>
      </c>
      <c r="AC37" s="36">
        <v>30097.5</v>
      </c>
      <c r="AD37" s="36">
        <v>11991.4</v>
      </c>
      <c r="AE37" s="36">
        <v>0</v>
      </c>
    </row>
    <row r="38" spans="1:31" ht="15" customHeight="1" x14ac:dyDescent="0.25">
      <c r="A38" s="18">
        <v>1294</v>
      </c>
      <c r="B38" s="19">
        <v>2929</v>
      </c>
      <c r="C38" s="19" t="s">
        <v>79</v>
      </c>
      <c r="D38" s="19" t="s">
        <v>80</v>
      </c>
      <c r="E38" s="19" t="s">
        <v>57</v>
      </c>
      <c r="F38" s="19" t="s">
        <v>70</v>
      </c>
      <c r="G38" s="20" t="str">
        <f>IF(LEN(ElecLkUp[[#This Row],[Ledger Code]])&gt;3,"AR"&amp;ElecLkUp[[#This Row],[Ledger Code]],"TBC")</f>
        <v>AR2929</v>
      </c>
      <c r="H38" s="114">
        <v>34025.300000000003</v>
      </c>
      <c r="I38" s="114">
        <v>54683.7</v>
      </c>
      <c r="J38" s="114">
        <v>57271.6</v>
      </c>
      <c r="K38" s="114">
        <v>56511.199999999997</v>
      </c>
      <c r="L38" s="114">
        <v>52803.9</v>
      </c>
      <c r="M38" s="114">
        <v>54977.3</v>
      </c>
      <c r="N38" s="114">
        <v>19680.3</v>
      </c>
      <c r="O38" s="114">
        <v>0</v>
      </c>
      <c r="P38" s="41">
        <v>0</v>
      </c>
      <c r="Q38" s="41">
        <v>9086.1299999999992</v>
      </c>
      <c r="R38" s="41">
        <v>7193.2599999999993</v>
      </c>
      <c r="S38" s="41">
        <v>7585.55</v>
      </c>
      <c r="T38" s="41">
        <v>7187.4</v>
      </c>
      <c r="U38" s="41">
        <v>7000.9100000000017</v>
      </c>
      <c r="V38" s="41">
        <v>7459.59</v>
      </c>
      <c r="W38" s="41">
        <v>2944.2</v>
      </c>
      <c r="X38" s="36">
        <v>34025.300000000003</v>
      </c>
      <c r="Y38" s="36">
        <v>54683.7</v>
      </c>
      <c r="Z38" s="36">
        <v>57271.6</v>
      </c>
      <c r="AA38" s="36">
        <v>56511.199999999997</v>
      </c>
      <c r="AB38" s="36">
        <v>52803.9</v>
      </c>
      <c r="AC38" s="36">
        <v>54977.3</v>
      </c>
      <c r="AD38" s="36">
        <v>19680.3</v>
      </c>
      <c r="AE38" s="36">
        <v>0</v>
      </c>
    </row>
    <row r="39" spans="1:31" ht="15" customHeight="1" x14ac:dyDescent="0.25">
      <c r="A39" s="18">
        <v>1356</v>
      </c>
      <c r="B39" s="19">
        <v>5608</v>
      </c>
      <c r="C39" s="19" t="s">
        <v>81</v>
      </c>
      <c r="D39" s="19" t="s">
        <v>82</v>
      </c>
      <c r="E39" s="19" t="s">
        <v>9</v>
      </c>
      <c r="F39" s="19" t="s">
        <v>83</v>
      </c>
      <c r="G39" s="20" t="str">
        <f>IF(LEN(ElecLkUp[[#This Row],[Ledger Code]])&gt;3,"AR"&amp;ElecLkUp[[#This Row],[Ledger Code]],"TBC")</f>
        <v>AR5608</v>
      </c>
      <c r="H39" s="114"/>
      <c r="I39" s="114"/>
      <c r="J39" s="114"/>
      <c r="K39" s="114"/>
      <c r="L39" s="114"/>
      <c r="M39" s="114"/>
      <c r="N39" s="114"/>
      <c r="O39" s="114"/>
      <c r="P39" s="41">
        <v>0</v>
      </c>
      <c r="Q39" s="41">
        <v>0</v>
      </c>
      <c r="R39" s="41">
        <v>0</v>
      </c>
      <c r="S39" s="41">
        <v>84649.079999999987</v>
      </c>
      <c r="T39" s="41">
        <v>0</v>
      </c>
      <c r="U39" s="41">
        <v>0</v>
      </c>
      <c r="V39" s="41">
        <v>0</v>
      </c>
      <c r="W39" s="41">
        <v>47338.740000000005</v>
      </c>
      <c r="X39" s="36" t="s">
        <v>352</v>
      </c>
      <c r="Y39" s="36" t="s">
        <v>352</v>
      </c>
      <c r="Z39" s="36" t="s">
        <v>352</v>
      </c>
      <c r="AA39" s="36" t="s">
        <v>352</v>
      </c>
      <c r="AB39" s="36" t="s">
        <v>352</v>
      </c>
      <c r="AC39" s="36" t="s">
        <v>352</v>
      </c>
      <c r="AD39" s="36" t="s">
        <v>352</v>
      </c>
      <c r="AE39" s="36" t="s">
        <v>352</v>
      </c>
    </row>
    <row r="40" spans="1:31" ht="15" customHeight="1" x14ac:dyDescent="0.25">
      <c r="A40" s="18">
        <v>1386</v>
      </c>
      <c r="B40" s="19">
        <v>5638</v>
      </c>
      <c r="C40" s="19" t="s">
        <v>84</v>
      </c>
      <c r="D40" s="19" t="s">
        <v>85</v>
      </c>
      <c r="E40" s="19" t="s">
        <v>9</v>
      </c>
      <c r="F40" s="19" t="s">
        <v>83</v>
      </c>
      <c r="G40" s="20" t="str">
        <f>IF(LEN(ElecLkUp[[#This Row],[Ledger Code]])&gt;3,"AR"&amp;ElecLkUp[[#This Row],[Ledger Code]],"TBC")</f>
        <v>AR5638</v>
      </c>
      <c r="H40" s="114">
        <v>0</v>
      </c>
      <c r="I40" s="114">
        <v>0</v>
      </c>
      <c r="J40" s="114">
        <v>304897</v>
      </c>
      <c r="K40" s="114">
        <v>112015</v>
      </c>
      <c r="L40" s="114">
        <v>102523</v>
      </c>
      <c r="M40" s="114">
        <v>103162</v>
      </c>
      <c r="N40" s="114">
        <v>34847</v>
      </c>
      <c r="O40" s="114">
        <v>140106</v>
      </c>
      <c r="P40" s="41">
        <v>0</v>
      </c>
      <c r="Q40" s="41">
        <v>0</v>
      </c>
      <c r="R40" s="41">
        <v>0</v>
      </c>
      <c r="S40" s="41">
        <v>49656.03</v>
      </c>
      <c r="T40" s="41">
        <v>12589.83</v>
      </c>
      <c r="U40" s="41">
        <v>12906.89</v>
      </c>
      <c r="V40" s="41">
        <v>12808.17</v>
      </c>
      <c r="W40" s="41">
        <v>8895.260000000002</v>
      </c>
      <c r="X40" s="36">
        <v>0</v>
      </c>
      <c r="Y40" s="36">
        <v>0</v>
      </c>
      <c r="Z40" s="36">
        <v>304897</v>
      </c>
      <c r="AA40" s="36">
        <v>112015</v>
      </c>
      <c r="AB40" s="36">
        <v>102523</v>
      </c>
      <c r="AC40" s="36">
        <v>103162</v>
      </c>
      <c r="AD40" s="36">
        <v>236816</v>
      </c>
      <c r="AE40" s="36">
        <v>313833</v>
      </c>
    </row>
    <row r="41" spans="1:31" ht="15" customHeight="1" x14ac:dyDescent="0.25">
      <c r="A41" s="18">
        <v>1424</v>
      </c>
      <c r="B41" s="19">
        <v>5652</v>
      </c>
      <c r="C41" s="19" t="s">
        <v>86</v>
      </c>
      <c r="D41" s="19" t="s">
        <v>87</v>
      </c>
      <c r="E41" s="19" t="s">
        <v>9</v>
      </c>
      <c r="F41" s="19" t="s">
        <v>83</v>
      </c>
      <c r="G41" s="20" t="str">
        <f>IF(LEN(ElecLkUp[[#This Row],[Ledger Code]])&gt;3,"AR"&amp;ElecLkUp[[#This Row],[Ledger Code]],"TBC")</f>
        <v>AR5652</v>
      </c>
      <c r="H41" s="114"/>
      <c r="I41" s="114"/>
      <c r="J41" s="114"/>
      <c r="K41" s="114"/>
      <c r="L41" s="114"/>
      <c r="M41" s="114"/>
      <c r="N41" s="114"/>
      <c r="O41" s="114"/>
      <c r="P41" s="41">
        <v>7832.8</v>
      </c>
      <c r="Q41" s="41">
        <v>11053.7</v>
      </c>
      <c r="R41" s="41">
        <v>6026.4799999999987</v>
      </c>
      <c r="S41" s="41">
        <v>5397.9599999999991</v>
      </c>
      <c r="T41" s="41">
        <v>10884.73</v>
      </c>
      <c r="U41" s="41">
        <v>11466.499999999998</v>
      </c>
      <c r="V41" s="41">
        <v>6286.7999999999993</v>
      </c>
      <c r="W41" s="41">
        <v>6551.5300000000007</v>
      </c>
      <c r="X41" s="36" t="s">
        <v>352</v>
      </c>
      <c r="Y41" s="36" t="s">
        <v>352</v>
      </c>
      <c r="Z41" s="36" t="s">
        <v>352</v>
      </c>
      <c r="AA41" s="36" t="s">
        <v>352</v>
      </c>
      <c r="AB41" s="36" t="s">
        <v>352</v>
      </c>
      <c r="AC41" s="36" t="s">
        <v>352</v>
      </c>
      <c r="AD41" s="36" t="s">
        <v>352</v>
      </c>
      <c r="AE41" s="36" t="s">
        <v>352</v>
      </c>
    </row>
    <row r="42" spans="1:31" ht="15" customHeight="1" x14ac:dyDescent="0.25">
      <c r="A42" s="18">
        <v>1584</v>
      </c>
      <c r="B42" s="19">
        <v>8304</v>
      </c>
      <c r="C42" s="19" t="s">
        <v>88</v>
      </c>
      <c r="D42" s="19" t="s">
        <v>89</v>
      </c>
      <c r="E42" s="19" t="s">
        <v>26</v>
      </c>
      <c r="F42" s="19" t="s">
        <v>48</v>
      </c>
      <c r="G42" s="20" t="str">
        <f>IF(LEN(ElecLkUp[[#This Row],[Ledger Code]])&gt;3,"AR"&amp;ElecLkUp[[#This Row],[Ledger Code]],"TBC")</f>
        <v>AR8304</v>
      </c>
      <c r="H42" s="114"/>
      <c r="I42" s="114"/>
      <c r="J42" s="114"/>
      <c r="K42" s="114"/>
      <c r="L42" s="114"/>
      <c r="M42" s="114"/>
      <c r="N42" s="114"/>
      <c r="O42" s="114"/>
      <c r="P42" s="41">
        <v>0</v>
      </c>
      <c r="Q42" s="41">
        <v>0</v>
      </c>
      <c r="R42" s="41">
        <v>0</v>
      </c>
      <c r="S42" s="41">
        <v>0</v>
      </c>
      <c r="T42" s="41">
        <v>0</v>
      </c>
      <c r="U42" s="41">
        <v>0</v>
      </c>
      <c r="V42" s="41">
        <v>0</v>
      </c>
      <c r="W42" s="41">
        <v>6206.18</v>
      </c>
      <c r="X42" s="36" t="s">
        <v>352</v>
      </c>
      <c r="Y42" s="36" t="s">
        <v>352</v>
      </c>
      <c r="Z42" s="36" t="s">
        <v>352</v>
      </c>
      <c r="AA42" s="36" t="s">
        <v>352</v>
      </c>
      <c r="AB42" s="36" t="s">
        <v>352</v>
      </c>
      <c r="AC42" s="36" t="s">
        <v>352</v>
      </c>
      <c r="AD42" s="36" t="s">
        <v>352</v>
      </c>
      <c r="AE42" s="36" t="s">
        <v>352</v>
      </c>
    </row>
    <row r="43" spans="1:31" ht="15" customHeight="1" x14ac:dyDescent="0.25">
      <c r="A43" s="18">
        <v>1592</v>
      </c>
      <c r="B43" s="19">
        <v>8311</v>
      </c>
      <c r="C43" s="19" t="s">
        <v>90</v>
      </c>
      <c r="D43" s="19" t="s">
        <v>91</v>
      </c>
      <c r="E43" s="19" t="s">
        <v>26</v>
      </c>
      <c r="F43" s="19" t="s">
        <v>48</v>
      </c>
      <c r="G43" s="20" t="str">
        <f>IF(LEN(ElecLkUp[[#This Row],[Ledger Code]])&gt;3,"AR"&amp;ElecLkUp[[#This Row],[Ledger Code]],"TBC")</f>
        <v>AR8311</v>
      </c>
      <c r="H43" s="114"/>
      <c r="I43" s="114"/>
      <c r="J43" s="114"/>
      <c r="K43" s="114"/>
      <c r="L43" s="114"/>
      <c r="M43" s="114"/>
      <c r="N43" s="114"/>
      <c r="O43" s="114"/>
      <c r="P43" s="41">
        <v>2880.03</v>
      </c>
      <c r="Q43" s="41">
        <v>8625.2900000000009</v>
      </c>
      <c r="R43" s="41">
        <v>3019.9</v>
      </c>
      <c r="S43" s="41">
        <v>24108.030000000002</v>
      </c>
      <c r="T43" s="41">
        <v>0</v>
      </c>
      <c r="U43" s="41">
        <v>6275.17</v>
      </c>
      <c r="V43" s="41">
        <v>12509.91</v>
      </c>
      <c r="W43" s="41"/>
      <c r="X43" s="36" t="s">
        <v>352</v>
      </c>
      <c r="Y43" s="36" t="s">
        <v>352</v>
      </c>
      <c r="Z43" s="36" t="s">
        <v>352</v>
      </c>
      <c r="AA43" s="36" t="s">
        <v>352</v>
      </c>
      <c r="AB43" s="36" t="s">
        <v>352</v>
      </c>
      <c r="AC43" s="36" t="s">
        <v>352</v>
      </c>
      <c r="AD43" s="36" t="s">
        <v>352</v>
      </c>
      <c r="AE43" s="36" t="s">
        <v>352</v>
      </c>
    </row>
    <row r="44" spans="1:31" ht="15" customHeight="1" x14ac:dyDescent="0.25">
      <c r="A44" s="18">
        <v>1733</v>
      </c>
      <c r="B44" s="19">
        <v>2965</v>
      </c>
      <c r="C44" s="19" t="s">
        <v>92</v>
      </c>
      <c r="D44" s="19" t="s">
        <v>93</v>
      </c>
      <c r="E44" s="19" t="s">
        <v>57</v>
      </c>
      <c r="F44" s="19" t="s">
        <v>70</v>
      </c>
      <c r="G44" s="20" t="str">
        <f>IF(LEN(ElecLkUp[[#This Row],[Ledger Code]])&gt;3,"AR"&amp;ElecLkUp[[#This Row],[Ledger Code]],"TBC")</f>
        <v>AR2965</v>
      </c>
      <c r="H44" s="114">
        <v>29390</v>
      </c>
      <c r="I44" s="114">
        <v>29210</v>
      </c>
      <c r="J44" s="114">
        <v>42680</v>
      </c>
      <c r="K44" s="114">
        <v>42090</v>
      </c>
      <c r="L44" s="114">
        <v>35080</v>
      </c>
      <c r="M44" s="114">
        <v>33840</v>
      </c>
      <c r="N44" s="114">
        <v>45610</v>
      </c>
      <c r="O44" s="114">
        <v>29000</v>
      </c>
      <c r="P44" s="41">
        <v>6361.25</v>
      </c>
      <c r="Q44" s="41">
        <v>6361.25</v>
      </c>
      <c r="R44" s="41">
        <v>6361.25</v>
      </c>
      <c r="S44" s="41">
        <v>6361.25</v>
      </c>
      <c r="T44" s="41">
        <v>0</v>
      </c>
      <c r="U44" s="41">
        <v>0</v>
      </c>
      <c r="V44" s="41">
        <v>0</v>
      </c>
      <c r="W44" s="41">
        <v>0</v>
      </c>
      <c r="X44" s="36" t="s">
        <v>352</v>
      </c>
      <c r="Y44" s="36" t="s">
        <v>352</v>
      </c>
      <c r="Z44" s="36" t="s">
        <v>352</v>
      </c>
      <c r="AA44" s="36" t="s">
        <v>352</v>
      </c>
      <c r="AB44" s="36" t="s">
        <v>352</v>
      </c>
      <c r="AC44" s="36" t="s">
        <v>352</v>
      </c>
      <c r="AD44" s="36" t="s">
        <v>352</v>
      </c>
      <c r="AE44" s="36" t="s">
        <v>352</v>
      </c>
    </row>
    <row r="45" spans="1:31" ht="15" customHeight="1" x14ac:dyDescent="0.25">
      <c r="A45" s="18">
        <v>1812</v>
      </c>
      <c r="B45" s="19">
        <v>3115</v>
      </c>
      <c r="C45" s="19" t="s">
        <v>337</v>
      </c>
      <c r="D45" s="19" t="s">
        <v>338</v>
      </c>
      <c r="E45" s="19" t="s">
        <v>57</v>
      </c>
      <c r="F45" s="19" t="s">
        <v>70</v>
      </c>
      <c r="G45" s="20" t="str">
        <f>IF(LEN(ElecLkUp[[#This Row],[Ledger Code]])&gt;3,"AR"&amp;ElecLkUp[[#This Row],[Ledger Code]],"TBC")</f>
        <v>AR3115</v>
      </c>
      <c r="H45" s="114">
        <v>0</v>
      </c>
      <c r="I45" s="114">
        <v>11505</v>
      </c>
      <c r="J45" s="114">
        <v>7809</v>
      </c>
      <c r="K45" s="114">
        <v>8615</v>
      </c>
      <c r="L45" s="114">
        <v>7668</v>
      </c>
      <c r="M45" s="114">
        <v>6602</v>
      </c>
      <c r="N45" s="114">
        <v>4586</v>
      </c>
      <c r="O45" s="114">
        <v>1</v>
      </c>
      <c r="P45" s="41">
        <v>0</v>
      </c>
      <c r="Q45" s="41">
        <v>2340.06</v>
      </c>
      <c r="R45" s="41">
        <v>3690.1800000000007</v>
      </c>
      <c r="S45" s="41">
        <v>9348.9500000000007</v>
      </c>
      <c r="T45" s="41">
        <v>8873.970000000003</v>
      </c>
      <c r="U45" s="41">
        <v>1715.4500000000005</v>
      </c>
      <c r="V45" s="41">
        <v>-923.86999999999966</v>
      </c>
      <c r="W45" s="41">
        <v>-4.4199999999995043</v>
      </c>
      <c r="X45" s="36">
        <v>0</v>
      </c>
      <c r="Y45" s="36">
        <v>11505</v>
      </c>
      <c r="Z45" s="36">
        <v>7809</v>
      </c>
      <c r="AA45" s="36">
        <v>8615</v>
      </c>
      <c r="AB45" s="36">
        <v>7668</v>
      </c>
      <c r="AC45" s="36">
        <v>6602</v>
      </c>
      <c r="AD45" s="36">
        <v>206555</v>
      </c>
      <c r="AE45" s="36">
        <v>173728</v>
      </c>
    </row>
    <row r="46" spans="1:31" ht="15" customHeight="1" x14ac:dyDescent="0.25">
      <c r="A46" s="18">
        <v>1855</v>
      </c>
      <c r="B46" s="19">
        <v>3075</v>
      </c>
      <c r="C46" s="19" t="s">
        <v>94</v>
      </c>
      <c r="D46" s="19" t="s">
        <v>95</v>
      </c>
      <c r="E46" s="19" t="s">
        <v>57</v>
      </c>
      <c r="F46" s="19" t="s">
        <v>70</v>
      </c>
      <c r="G46" s="20" t="str">
        <f>IF(LEN(ElecLkUp[[#This Row],[Ledger Code]])&gt;3,"AR"&amp;ElecLkUp[[#This Row],[Ledger Code]],"TBC")</f>
        <v>AR3075</v>
      </c>
      <c r="H46" s="114"/>
      <c r="I46" s="114"/>
      <c r="J46" s="114"/>
      <c r="K46" s="114"/>
      <c r="L46" s="114"/>
      <c r="M46" s="114"/>
      <c r="N46" s="114"/>
      <c r="O46" s="114"/>
      <c r="P46" s="41">
        <v>0</v>
      </c>
      <c r="Q46" s="41">
        <v>0</v>
      </c>
      <c r="R46" s="41">
        <v>0</v>
      </c>
      <c r="S46" s="41">
        <v>3.637978807091713E-12</v>
      </c>
      <c r="T46" s="41">
        <v>0</v>
      </c>
      <c r="U46" s="41">
        <v>26464.18</v>
      </c>
      <c r="V46" s="41">
        <v>2761.55</v>
      </c>
      <c r="W46" s="41">
        <v>4260.3</v>
      </c>
      <c r="X46" s="36" t="s">
        <v>352</v>
      </c>
      <c r="Y46" s="36" t="s">
        <v>352</v>
      </c>
      <c r="Z46" s="36" t="s">
        <v>352</v>
      </c>
      <c r="AA46" s="36" t="s">
        <v>352</v>
      </c>
      <c r="AB46" s="36" t="s">
        <v>352</v>
      </c>
      <c r="AC46" s="36" t="s">
        <v>352</v>
      </c>
      <c r="AD46" s="36" t="s">
        <v>352</v>
      </c>
      <c r="AE46" s="36" t="s">
        <v>352</v>
      </c>
    </row>
    <row r="47" spans="1:31" ht="15" customHeight="1" x14ac:dyDescent="0.25">
      <c r="A47" s="18">
        <v>1984</v>
      </c>
      <c r="B47" s="19">
        <v>5902</v>
      </c>
      <c r="C47" s="19" t="s">
        <v>96</v>
      </c>
      <c r="D47" s="19" t="s">
        <v>97</v>
      </c>
      <c r="E47" s="19" t="s">
        <v>9</v>
      </c>
      <c r="F47" s="19" t="s">
        <v>98</v>
      </c>
      <c r="G47" s="20" t="str">
        <f>IF(LEN(ElecLkUp[[#This Row],[Ledger Code]])&gt;3,"AR"&amp;ElecLkUp[[#This Row],[Ledger Code]],"TBC")</f>
        <v>AR5902</v>
      </c>
      <c r="H47" s="114">
        <v>0</v>
      </c>
      <c r="I47" s="114">
        <v>0</v>
      </c>
      <c r="J47" s="114">
        <v>0</v>
      </c>
      <c r="K47" s="114">
        <v>0</v>
      </c>
      <c r="L47" s="114">
        <v>100587</v>
      </c>
      <c r="M47" s="114">
        <v>169887.6</v>
      </c>
      <c r="N47" s="114">
        <v>58221.5</v>
      </c>
      <c r="O47" s="114">
        <v>0</v>
      </c>
      <c r="P47" s="41">
        <v>0</v>
      </c>
      <c r="Q47" s="41">
        <v>23517.589999999997</v>
      </c>
      <c r="R47" s="41">
        <v>25173.07</v>
      </c>
      <c r="S47" s="41">
        <v>27279.71</v>
      </c>
      <c r="T47" s="41">
        <v>22668.879999999997</v>
      </c>
      <c r="U47" s="41">
        <v>18693.730000000003</v>
      </c>
      <c r="V47" s="41">
        <v>20561.629999999997</v>
      </c>
      <c r="W47" s="41">
        <v>7306.7499999999982</v>
      </c>
      <c r="X47" s="36">
        <v>0</v>
      </c>
      <c r="Y47" s="36">
        <v>0</v>
      </c>
      <c r="Z47" s="36">
        <v>0</v>
      </c>
      <c r="AA47" s="36">
        <v>0</v>
      </c>
      <c r="AB47" s="36">
        <v>100587</v>
      </c>
      <c r="AC47" s="36">
        <v>169887.6</v>
      </c>
      <c r="AD47" s="36">
        <v>58221.5</v>
      </c>
      <c r="AE47" s="36">
        <v>0</v>
      </c>
    </row>
    <row r="48" spans="1:31" ht="15" customHeight="1" x14ac:dyDescent="0.25">
      <c r="A48" s="18">
        <v>2009</v>
      </c>
      <c r="B48" s="19">
        <v>5809</v>
      </c>
      <c r="C48" s="19" t="s">
        <v>99</v>
      </c>
      <c r="D48" s="19" t="s">
        <v>100</v>
      </c>
      <c r="E48" s="19" t="s">
        <v>9</v>
      </c>
      <c r="F48" s="19" t="s">
        <v>98</v>
      </c>
      <c r="G48" s="20" t="str">
        <f>IF(LEN(ElecLkUp[[#This Row],[Ledger Code]])&gt;3,"AR"&amp;ElecLkUp[[#This Row],[Ledger Code]],"TBC")</f>
        <v>AR5809</v>
      </c>
      <c r="H48" s="114"/>
      <c r="I48" s="114"/>
      <c r="J48" s="114"/>
      <c r="K48" s="114"/>
      <c r="L48" s="114"/>
      <c r="M48" s="114"/>
      <c r="N48" s="114"/>
      <c r="O48" s="114"/>
      <c r="P48" s="41">
        <v>0</v>
      </c>
      <c r="Q48" s="41">
        <v>2473.4800000000009</v>
      </c>
      <c r="R48" s="41">
        <v>6575.37</v>
      </c>
      <c r="S48" s="41">
        <v>6243.9599999999991</v>
      </c>
      <c r="T48" s="41">
        <v>5938.12</v>
      </c>
      <c r="U48" s="41">
        <v>-4807.24</v>
      </c>
      <c r="V48" s="41">
        <v>24.72</v>
      </c>
      <c r="W48" s="41">
        <v>0</v>
      </c>
      <c r="X48" s="36" t="s">
        <v>352</v>
      </c>
      <c r="Y48" s="36" t="s">
        <v>352</v>
      </c>
      <c r="Z48" s="36" t="s">
        <v>352</v>
      </c>
      <c r="AA48" s="36" t="s">
        <v>352</v>
      </c>
      <c r="AB48" s="36" t="s">
        <v>352</v>
      </c>
      <c r="AC48" s="36" t="s">
        <v>352</v>
      </c>
      <c r="AD48" s="36" t="s">
        <v>352</v>
      </c>
      <c r="AE48" s="36" t="s">
        <v>352</v>
      </c>
    </row>
    <row r="49" spans="1:31" ht="15" customHeight="1" x14ac:dyDescent="0.25">
      <c r="A49" s="18">
        <v>2065</v>
      </c>
      <c r="B49" s="19">
        <v>5765</v>
      </c>
      <c r="C49" s="19" t="s">
        <v>101</v>
      </c>
      <c r="D49" s="19" t="s">
        <v>102</v>
      </c>
      <c r="E49" s="19" t="s">
        <v>9</v>
      </c>
      <c r="F49" s="19" t="s">
        <v>98</v>
      </c>
      <c r="G49" s="20" t="str">
        <f>IF(LEN(ElecLkUp[[#This Row],[Ledger Code]])&gt;3,"AR"&amp;ElecLkUp[[#This Row],[Ledger Code]],"TBC")</f>
        <v>AR5765</v>
      </c>
      <c r="H49" s="114">
        <v>0</v>
      </c>
      <c r="I49" s="114">
        <v>0</v>
      </c>
      <c r="J49" s="114">
        <v>0</v>
      </c>
      <c r="K49" s="114">
        <v>0</v>
      </c>
      <c r="L49" s="114">
        <v>0</v>
      </c>
      <c r="M49" s="114">
        <v>0</v>
      </c>
      <c r="N49" s="114">
        <v>0</v>
      </c>
      <c r="O49" s="114">
        <v>0</v>
      </c>
      <c r="P49" s="41">
        <v>0</v>
      </c>
      <c r="Q49" s="41">
        <v>0</v>
      </c>
      <c r="R49" s="41">
        <v>0</v>
      </c>
      <c r="S49" s="41">
        <v>42228.89999999998</v>
      </c>
      <c r="T49" s="41">
        <v>9238.43</v>
      </c>
      <c r="U49" s="41">
        <v>10820.080000000002</v>
      </c>
      <c r="V49" s="41">
        <v>10666.560000000001</v>
      </c>
      <c r="W49" s="41">
        <v>4532.8000000000011</v>
      </c>
      <c r="X49" s="36">
        <v>0</v>
      </c>
      <c r="Y49" s="36">
        <v>0</v>
      </c>
      <c r="Z49" s="36">
        <v>0</v>
      </c>
      <c r="AA49" s="36">
        <v>0</v>
      </c>
      <c r="AB49" s="36">
        <v>0</v>
      </c>
      <c r="AC49" s="36">
        <v>0</v>
      </c>
      <c r="AD49" s="36">
        <v>0</v>
      </c>
      <c r="AE49" s="36">
        <v>0</v>
      </c>
    </row>
    <row r="50" spans="1:31" ht="15" customHeight="1" x14ac:dyDescent="0.25">
      <c r="A50" s="18">
        <v>2066</v>
      </c>
      <c r="B50" s="19">
        <v>5766</v>
      </c>
      <c r="C50" s="19" t="s">
        <v>103</v>
      </c>
      <c r="D50" s="19" t="s">
        <v>104</v>
      </c>
      <c r="E50" s="19" t="s">
        <v>9</v>
      </c>
      <c r="F50" s="19" t="s">
        <v>98</v>
      </c>
      <c r="G50" s="20" t="str">
        <f>IF(LEN(ElecLkUp[[#This Row],[Ledger Code]])&gt;3,"AR"&amp;ElecLkUp[[#This Row],[Ledger Code]],"TBC")</f>
        <v>AR5766</v>
      </c>
      <c r="H50" s="114"/>
      <c r="I50" s="114"/>
      <c r="J50" s="114"/>
      <c r="K50" s="114"/>
      <c r="L50" s="114"/>
      <c r="M50" s="114"/>
      <c r="N50" s="114"/>
      <c r="O50" s="114"/>
      <c r="P50" s="41">
        <v>0</v>
      </c>
      <c r="Q50" s="41">
        <v>0</v>
      </c>
      <c r="R50" s="41">
        <v>0</v>
      </c>
      <c r="S50" s="41">
        <v>0</v>
      </c>
      <c r="T50" s="41">
        <v>0</v>
      </c>
      <c r="U50" s="41">
        <v>0</v>
      </c>
      <c r="V50" s="41">
        <v>0</v>
      </c>
      <c r="W50" s="41">
        <v>0</v>
      </c>
      <c r="X50" s="36" t="s">
        <v>352</v>
      </c>
      <c r="Y50" s="36" t="s">
        <v>352</v>
      </c>
      <c r="Z50" s="36" t="s">
        <v>352</v>
      </c>
      <c r="AA50" s="36" t="s">
        <v>352</v>
      </c>
      <c r="AB50" s="36" t="s">
        <v>352</v>
      </c>
      <c r="AC50" s="36" t="s">
        <v>352</v>
      </c>
      <c r="AD50" s="36" t="s">
        <v>352</v>
      </c>
      <c r="AE50" s="36" t="s">
        <v>352</v>
      </c>
    </row>
    <row r="51" spans="1:31" ht="15" customHeight="1" x14ac:dyDescent="0.25">
      <c r="A51" s="18">
        <v>2122</v>
      </c>
      <c r="B51" s="19">
        <v>5812</v>
      </c>
      <c r="C51" s="19" t="s">
        <v>323</v>
      </c>
      <c r="D51" s="19">
        <v>0</v>
      </c>
      <c r="E51" s="19" t="s">
        <v>9</v>
      </c>
      <c r="F51" s="19" t="s">
        <v>98</v>
      </c>
      <c r="G51" s="20" t="str">
        <f>IF(LEN(ElecLkUp[[#This Row],[Ledger Code]])&gt;3,"AR"&amp;ElecLkUp[[#This Row],[Ledger Code]],"TBC")</f>
        <v>AR5812</v>
      </c>
      <c r="H51" s="114"/>
      <c r="I51" s="114"/>
      <c r="J51" s="114"/>
      <c r="K51" s="114"/>
      <c r="L51" s="114"/>
      <c r="M51" s="114"/>
      <c r="N51" s="114"/>
      <c r="O51" s="114"/>
      <c r="P51" s="41">
        <v>0</v>
      </c>
      <c r="Q51" s="41">
        <v>8980.2999999999993</v>
      </c>
      <c r="R51" s="41">
        <v>9.0949470177292824E-13</v>
      </c>
      <c r="S51" s="41">
        <v>266.60000000000002</v>
      </c>
      <c r="T51" s="41">
        <v>0</v>
      </c>
      <c r="U51" s="41">
        <v>12085.03</v>
      </c>
      <c r="V51" s="41">
        <v>6192.8899999999985</v>
      </c>
      <c r="W51" s="41">
        <v>2306.58</v>
      </c>
      <c r="X51" s="36" t="s">
        <v>352</v>
      </c>
      <c r="Y51" s="36" t="s">
        <v>352</v>
      </c>
      <c r="Z51" s="36" t="s">
        <v>352</v>
      </c>
      <c r="AA51" s="36" t="s">
        <v>352</v>
      </c>
      <c r="AB51" s="36" t="s">
        <v>352</v>
      </c>
      <c r="AC51" s="36" t="s">
        <v>352</v>
      </c>
      <c r="AD51" s="36" t="s">
        <v>352</v>
      </c>
      <c r="AE51" s="36" t="s">
        <v>352</v>
      </c>
    </row>
    <row r="52" spans="1:31" ht="15" customHeight="1" x14ac:dyDescent="0.25">
      <c r="A52" s="18">
        <v>2215</v>
      </c>
      <c r="B52" s="19">
        <v>6045</v>
      </c>
      <c r="C52" s="19" t="s">
        <v>105</v>
      </c>
      <c r="D52" s="19" t="s">
        <v>106</v>
      </c>
      <c r="E52" s="19" t="s">
        <v>9</v>
      </c>
      <c r="F52" s="19" t="s">
        <v>98</v>
      </c>
      <c r="G52" s="20" t="str">
        <f>IF(LEN(ElecLkUp[[#This Row],[Ledger Code]])&gt;3,"AR"&amp;ElecLkUp[[#This Row],[Ledger Code]],"TBC")</f>
        <v>AR6045</v>
      </c>
      <c r="H52" s="114">
        <v>140688.79999999999</v>
      </c>
      <c r="I52" s="114">
        <v>147807.4</v>
      </c>
      <c r="J52" s="114">
        <v>152079.9</v>
      </c>
      <c r="K52" s="114">
        <v>152810.79999999999</v>
      </c>
      <c r="L52" s="114">
        <v>148457.60000000001</v>
      </c>
      <c r="M52" s="114">
        <v>152766.9</v>
      </c>
      <c r="N52" s="114">
        <v>49089.2</v>
      </c>
      <c r="O52" s="114">
        <v>0</v>
      </c>
      <c r="P52" s="41">
        <v>368.28</v>
      </c>
      <c r="Q52" s="41">
        <v>28325.559999999998</v>
      </c>
      <c r="R52" s="41">
        <v>17266.749999999996</v>
      </c>
      <c r="S52" s="41">
        <v>18095.490000000002</v>
      </c>
      <c r="T52" s="41">
        <v>18771.370000000003</v>
      </c>
      <c r="U52" s="41">
        <v>17093.240000000002</v>
      </c>
      <c r="V52" s="41">
        <v>16894.29</v>
      </c>
      <c r="W52" s="41">
        <v>5060.9300000000012</v>
      </c>
      <c r="X52" s="36">
        <v>140688.79999999999</v>
      </c>
      <c r="Y52" s="36">
        <v>147807.4</v>
      </c>
      <c r="Z52" s="36">
        <v>152079.9</v>
      </c>
      <c r="AA52" s="36">
        <v>152810.79999999999</v>
      </c>
      <c r="AB52" s="36">
        <v>148457.60000000001</v>
      </c>
      <c r="AC52" s="36">
        <v>152766.9</v>
      </c>
      <c r="AD52" s="36">
        <v>49089.2</v>
      </c>
      <c r="AE52" s="36">
        <v>0</v>
      </c>
    </row>
    <row r="53" spans="1:31" ht="15" customHeight="1" x14ac:dyDescent="0.25">
      <c r="A53" s="18">
        <v>2232</v>
      </c>
      <c r="B53" s="19">
        <v>6063</v>
      </c>
      <c r="C53" s="19" t="s">
        <v>107</v>
      </c>
      <c r="D53" s="19" t="s">
        <v>108</v>
      </c>
      <c r="E53" s="19" t="s">
        <v>9</v>
      </c>
      <c r="F53" s="19" t="s">
        <v>98</v>
      </c>
      <c r="G53" s="20" t="str">
        <f>IF(LEN(ElecLkUp[[#This Row],[Ledger Code]])&gt;3,"AR"&amp;ElecLkUp[[#This Row],[Ledger Code]],"TBC")</f>
        <v>AR6063</v>
      </c>
      <c r="H53" s="114"/>
      <c r="I53" s="114"/>
      <c r="J53" s="114"/>
      <c r="K53" s="114"/>
      <c r="L53" s="114"/>
      <c r="M53" s="114"/>
      <c r="N53" s="114"/>
      <c r="O53" s="114"/>
      <c r="P53" s="41">
        <v>0</v>
      </c>
      <c r="Q53" s="41">
        <v>21932.28</v>
      </c>
      <c r="R53" s="41">
        <v>12148.080000000002</v>
      </c>
      <c r="S53" s="41">
        <v>12189.99</v>
      </c>
      <c r="T53" s="41">
        <v>12260.84</v>
      </c>
      <c r="U53" s="41">
        <v>9490.7900000000009</v>
      </c>
      <c r="V53" s="41">
        <v>13290.669999999998</v>
      </c>
      <c r="W53" s="41">
        <v>15990.870000000003</v>
      </c>
      <c r="X53" s="36" t="s">
        <v>352</v>
      </c>
      <c r="Y53" s="36" t="s">
        <v>352</v>
      </c>
      <c r="Z53" s="36" t="s">
        <v>352</v>
      </c>
      <c r="AA53" s="36" t="s">
        <v>352</v>
      </c>
      <c r="AB53" s="36" t="s">
        <v>352</v>
      </c>
      <c r="AC53" s="36" t="s">
        <v>352</v>
      </c>
      <c r="AD53" s="36" t="s">
        <v>352</v>
      </c>
      <c r="AE53" s="36" t="s">
        <v>352</v>
      </c>
    </row>
    <row r="54" spans="1:31" ht="15" customHeight="1" x14ac:dyDescent="0.25">
      <c r="A54" s="18">
        <v>2347</v>
      </c>
      <c r="B54" s="19">
        <v>5997</v>
      </c>
      <c r="C54" s="19" t="s">
        <v>109</v>
      </c>
      <c r="D54" s="19" t="s">
        <v>110</v>
      </c>
      <c r="E54" s="19" t="s">
        <v>9</v>
      </c>
      <c r="F54" s="19" t="s">
        <v>98</v>
      </c>
      <c r="G54" s="20" t="str">
        <f>IF(LEN(ElecLkUp[[#This Row],[Ledger Code]])&gt;3,"AR"&amp;ElecLkUp[[#This Row],[Ledger Code]],"TBC")</f>
        <v>AR5997</v>
      </c>
      <c r="H54" s="114"/>
      <c r="I54" s="114"/>
      <c r="J54" s="114"/>
      <c r="K54" s="114"/>
      <c r="L54" s="114"/>
      <c r="M54" s="114"/>
      <c r="N54" s="114"/>
      <c r="O54" s="114"/>
      <c r="P54" s="41">
        <v>6240.66</v>
      </c>
      <c r="Q54" s="41">
        <v>11615.639999999998</v>
      </c>
      <c r="R54" s="41">
        <v>4591.2399999999952</v>
      </c>
      <c r="S54" s="41">
        <v>17015.009999999998</v>
      </c>
      <c r="T54" s="41">
        <v>9851.760000000002</v>
      </c>
      <c r="U54" s="41">
        <v>8861.5600000000013</v>
      </c>
      <c r="V54" s="41">
        <v>4763.2499999999982</v>
      </c>
      <c r="W54" s="41">
        <v>6621.8999999999987</v>
      </c>
      <c r="X54" s="36" t="s">
        <v>352</v>
      </c>
      <c r="Y54" s="36" t="s">
        <v>352</v>
      </c>
      <c r="Z54" s="36" t="s">
        <v>352</v>
      </c>
      <c r="AA54" s="36" t="s">
        <v>352</v>
      </c>
      <c r="AB54" s="36" t="s">
        <v>352</v>
      </c>
      <c r="AC54" s="36" t="s">
        <v>352</v>
      </c>
      <c r="AD54" s="36" t="s">
        <v>352</v>
      </c>
      <c r="AE54" s="36" t="s">
        <v>352</v>
      </c>
    </row>
    <row r="55" spans="1:31" ht="15" customHeight="1" x14ac:dyDescent="0.25">
      <c r="A55" s="18">
        <v>2348</v>
      </c>
      <c r="B55" s="19">
        <v>5999</v>
      </c>
      <c r="C55" s="19" t="s">
        <v>111</v>
      </c>
      <c r="D55" s="19" t="s">
        <v>110</v>
      </c>
      <c r="E55" s="19" t="s">
        <v>9</v>
      </c>
      <c r="F55" s="19" t="s">
        <v>98</v>
      </c>
      <c r="G55" s="20" t="str">
        <f>IF(LEN(ElecLkUp[[#This Row],[Ledger Code]])&gt;3,"AR"&amp;ElecLkUp[[#This Row],[Ledger Code]],"TBC")</f>
        <v>AR5999</v>
      </c>
      <c r="H55" s="114"/>
      <c r="I55" s="114"/>
      <c r="J55" s="114"/>
      <c r="K55" s="114"/>
      <c r="L55" s="114"/>
      <c r="M55" s="114"/>
      <c r="N55" s="114"/>
      <c r="O55" s="114"/>
      <c r="P55" s="41">
        <v>483.90999999999997</v>
      </c>
      <c r="Q55" s="41">
        <v>707.82999999999993</v>
      </c>
      <c r="R55" s="41">
        <v>502.45000000000044</v>
      </c>
      <c r="S55" s="41">
        <v>1299.2800000000002</v>
      </c>
      <c r="T55" s="41">
        <v>845.91000000000008</v>
      </c>
      <c r="U55" s="41">
        <v>946.28</v>
      </c>
      <c r="V55" s="41">
        <v>1932.1899999999998</v>
      </c>
      <c r="W55" s="41">
        <v>-301.67000000000013</v>
      </c>
      <c r="X55" s="36" t="s">
        <v>352</v>
      </c>
      <c r="Y55" s="36" t="s">
        <v>352</v>
      </c>
      <c r="Z55" s="36" t="s">
        <v>352</v>
      </c>
      <c r="AA55" s="36" t="s">
        <v>352</v>
      </c>
      <c r="AB55" s="36" t="s">
        <v>352</v>
      </c>
      <c r="AC55" s="36" t="s">
        <v>352</v>
      </c>
      <c r="AD55" s="36" t="s">
        <v>352</v>
      </c>
      <c r="AE55" s="36" t="s">
        <v>352</v>
      </c>
    </row>
    <row r="56" spans="1:31" ht="15" customHeight="1" x14ac:dyDescent="0.25">
      <c r="A56" s="18">
        <v>2351</v>
      </c>
      <c r="B56" s="19">
        <v>5963</v>
      </c>
      <c r="C56" s="19" t="s">
        <v>112</v>
      </c>
      <c r="D56" s="19" t="s">
        <v>113</v>
      </c>
      <c r="E56" s="19" t="s">
        <v>9</v>
      </c>
      <c r="F56" s="19" t="s">
        <v>98</v>
      </c>
      <c r="G56" s="20" t="str">
        <f>IF(LEN(ElecLkUp[[#This Row],[Ledger Code]])&gt;3,"AR"&amp;ElecLkUp[[#This Row],[Ledger Code]],"TBC")</f>
        <v>AR5963</v>
      </c>
      <c r="H56" s="114"/>
      <c r="I56" s="114"/>
      <c r="J56" s="114"/>
      <c r="K56" s="114"/>
      <c r="L56" s="114"/>
      <c r="M56" s="114"/>
      <c r="N56" s="114"/>
      <c r="O56" s="114"/>
      <c r="P56" s="41">
        <v>1208.0900000000001</v>
      </c>
      <c r="Q56" s="41">
        <v>1785.87</v>
      </c>
      <c r="R56" s="41">
        <v>743.26</v>
      </c>
      <c r="S56" s="41">
        <v>-413.8</v>
      </c>
      <c r="T56" s="41">
        <v>0</v>
      </c>
      <c r="U56" s="41">
        <v>341.39</v>
      </c>
      <c r="V56" s="41">
        <v>-341.39</v>
      </c>
      <c r="W56" s="41">
        <v>0</v>
      </c>
      <c r="X56" s="36" t="s">
        <v>352</v>
      </c>
      <c r="Y56" s="36" t="s">
        <v>352</v>
      </c>
      <c r="Z56" s="36" t="s">
        <v>352</v>
      </c>
      <c r="AA56" s="36" t="s">
        <v>352</v>
      </c>
      <c r="AB56" s="36" t="s">
        <v>352</v>
      </c>
      <c r="AC56" s="36" t="s">
        <v>352</v>
      </c>
      <c r="AD56" s="36" t="s">
        <v>352</v>
      </c>
      <c r="AE56" s="36" t="s">
        <v>352</v>
      </c>
    </row>
    <row r="57" spans="1:31" ht="15" customHeight="1" x14ac:dyDescent="0.25">
      <c r="A57" s="18">
        <v>2447</v>
      </c>
      <c r="B57" s="19">
        <v>3414</v>
      </c>
      <c r="C57" s="19" t="s">
        <v>114</v>
      </c>
      <c r="D57" s="19" t="s">
        <v>115</v>
      </c>
      <c r="E57" s="19" t="s">
        <v>57</v>
      </c>
      <c r="F57" s="19" t="s">
        <v>58</v>
      </c>
      <c r="G57" s="20" t="str">
        <f>IF(LEN(ElecLkUp[[#This Row],[Ledger Code]])&gt;3,"AR"&amp;ElecLkUp[[#This Row],[Ledger Code]],"TBC")</f>
        <v>AR3414</v>
      </c>
      <c r="H57" s="114"/>
      <c r="I57" s="114"/>
      <c r="J57" s="114"/>
      <c r="K57" s="114"/>
      <c r="L57" s="114"/>
      <c r="M57" s="114"/>
      <c r="N57" s="114"/>
      <c r="O57" s="114"/>
      <c r="P57" s="41">
        <v>1423.76</v>
      </c>
      <c r="Q57" s="41">
        <v>597.58000000000004</v>
      </c>
      <c r="R57" s="41">
        <v>508.56</v>
      </c>
      <c r="S57" s="41">
        <v>4479.3999999999996</v>
      </c>
      <c r="T57" s="41">
        <v>511.01</v>
      </c>
      <c r="U57" s="41">
        <v>1497.18</v>
      </c>
      <c r="V57" s="41">
        <v>1698.6799999999998</v>
      </c>
      <c r="W57" s="41">
        <v>1846.8</v>
      </c>
      <c r="X57" s="36" t="s">
        <v>352</v>
      </c>
      <c r="Y57" s="36" t="s">
        <v>352</v>
      </c>
      <c r="Z57" s="36" t="s">
        <v>352</v>
      </c>
      <c r="AA57" s="36" t="s">
        <v>352</v>
      </c>
      <c r="AB57" s="36" t="s">
        <v>352</v>
      </c>
      <c r="AC57" s="36" t="s">
        <v>352</v>
      </c>
      <c r="AD57" s="36" t="s">
        <v>352</v>
      </c>
      <c r="AE57" s="36" t="s">
        <v>352</v>
      </c>
    </row>
    <row r="58" spans="1:31" ht="15" customHeight="1" x14ac:dyDescent="0.25">
      <c r="A58" s="18">
        <v>2467</v>
      </c>
      <c r="B58" s="19">
        <v>3466</v>
      </c>
      <c r="C58" s="19" t="s">
        <v>320</v>
      </c>
      <c r="D58" s="19" t="s">
        <v>321</v>
      </c>
      <c r="E58" s="19" t="s">
        <v>57</v>
      </c>
      <c r="F58" s="19" t="s">
        <v>58</v>
      </c>
      <c r="G58" s="20" t="str">
        <f>IF(LEN(ElecLkUp[[#This Row],[Ledger Code]])&gt;3,"AR"&amp;ElecLkUp[[#This Row],[Ledger Code]],"TBC")</f>
        <v>AR3466</v>
      </c>
      <c r="H58" s="114"/>
      <c r="I58" s="114"/>
      <c r="J58" s="114"/>
      <c r="K58" s="114"/>
      <c r="L58" s="114"/>
      <c r="M58" s="114"/>
      <c r="N58" s="114"/>
      <c r="O58" s="114"/>
      <c r="P58" s="41">
        <v>0</v>
      </c>
      <c r="Q58" s="41">
        <v>11052.18</v>
      </c>
      <c r="R58" s="41">
        <v>10121.030000000001</v>
      </c>
      <c r="S58" s="41">
        <v>9659.1200000000008</v>
      </c>
      <c r="T58" s="41">
        <v>8334.59</v>
      </c>
      <c r="U58" s="41">
        <v>0</v>
      </c>
      <c r="V58" s="41">
        <v>0</v>
      </c>
      <c r="W58" s="41">
        <v>5498.8899999999994</v>
      </c>
      <c r="X58" s="36" t="s">
        <v>352</v>
      </c>
      <c r="Y58" s="36" t="s">
        <v>352</v>
      </c>
      <c r="Z58" s="36" t="s">
        <v>352</v>
      </c>
      <c r="AA58" s="36" t="s">
        <v>352</v>
      </c>
      <c r="AB58" s="36" t="s">
        <v>352</v>
      </c>
      <c r="AC58" s="36" t="s">
        <v>352</v>
      </c>
      <c r="AD58" s="36" t="s">
        <v>352</v>
      </c>
      <c r="AE58" s="36" t="s">
        <v>352</v>
      </c>
    </row>
    <row r="59" spans="1:31" ht="15" customHeight="1" x14ac:dyDescent="0.25">
      <c r="A59" s="18">
        <v>2525</v>
      </c>
      <c r="B59" s="19">
        <v>3262</v>
      </c>
      <c r="C59" s="19" t="s">
        <v>334</v>
      </c>
      <c r="D59" s="19" t="s">
        <v>335</v>
      </c>
      <c r="E59" s="19" t="s">
        <v>57</v>
      </c>
      <c r="F59" s="19" t="s">
        <v>58</v>
      </c>
      <c r="G59" s="20" t="str">
        <f>IF(LEN(ElecLkUp[[#This Row],[Ledger Code]])&gt;3,"AR"&amp;ElecLkUp[[#This Row],[Ledger Code]],"TBC")</f>
        <v>AR3262</v>
      </c>
      <c r="H59" s="114"/>
      <c r="I59" s="114"/>
      <c r="J59" s="114"/>
      <c r="K59" s="114"/>
      <c r="L59" s="114"/>
      <c r="M59" s="114"/>
      <c r="N59" s="114"/>
      <c r="O59" s="114"/>
      <c r="P59" s="41">
        <v>2863.78</v>
      </c>
      <c r="Q59" s="41">
        <v>11043.36</v>
      </c>
      <c r="R59" s="41">
        <v>5795.99</v>
      </c>
      <c r="S59" s="41">
        <v>10771.83</v>
      </c>
      <c r="T59" s="41">
        <v>2848.15</v>
      </c>
      <c r="U59" s="41">
        <v>15063.019999999999</v>
      </c>
      <c r="V59" s="41">
        <v>9469.3599999999988</v>
      </c>
      <c r="W59" s="41">
        <v>3003.7999999999993</v>
      </c>
      <c r="X59" s="36" t="s">
        <v>352</v>
      </c>
      <c r="Y59" s="36" t="s">
        <v>352</v>
      </c>
      <c r="Z59" s="36" t="s">
        <v>352</v>
      </c>
      <c r="AA59" s="36" t="s">
        <v>352</v>
      </c>
      <c r="AB59" s="36" t="s">
        <v>352</v>
      </c>
      <c r="AC59" s="36" t="s">
        <v>352</v>
      </c>
      <c r="AD59" s="36" t="s">
        <v>352</v>
      </c>
      <c r="AE59" s="36" t="s">
        <v>352</v>
      </c>
    </row>
    <row r="60" spans="1:31" ht="15" customHeight="1" x14ac:dyDescent="0.25">
      <c r="A60" s="18">
        <v>2529</v>
      </c>
      <c r="B60" s="19">
        <v>3283</v>
      </c>
      <c r="C60" s="19" t="s">
        <v>116</v>
      </c>
      <c r="D60" s="19" t="s">
        <v>117</v>
      </c>
      <c r="E60" s="19" t="s">
        <v>57</v>
      </c>
      <c r="F60" s="19" t="s">
        <v>58</v>
      </c>
      <c r="G60" s="20" t="str">
        <f>IF(LEN(ElecLkUp[[#This Row],[Ledger Code]])&gt;3,"AR"&amp;ElecLkUp[[#This Row],[Ledger Code]],"TBC")</f>
        <v>AR3283</v>
      </c>
      <c r="H60" s="114"/>
      <c r="I60" s="114"/>
      <c r="J60" s="114"/>
      <c r="K60" s="114"/>
      <c r="L60" s="114"/>
      <c r="M60" s="114"/>
      <c r="N60" s="114"/>
      <c r="O60" s="114"/>
      <c r="P60" s="41">
        <v>4245.05</v>
      </c>
      <c r="Q60" s="41">
        <v>4080.74</v>
      </c>
      <c r="R60" s="41">
        <v>6267.1099999999988</v>
      </c>
      <c r="S60" s="41">
        <v>6471.3</v>
      </c>
      <c r="T60" s="41">
        <v>4075.25</v>
      </c>
      <c r="U60" s="41">
        <v>8348.7199999999993</v>
      </c>
      <c r="V60" s="41">
        <v>6535.6099999999988</v>
      </c>
      <c r="W60" s="41">
        <v>6946.65</v>
      </c>
      <c r="X60" s="36" t="s">
        <v>352</v>
      </c>
      <c r="Y60" s="36" t="s">
        <v>352</v>
      </c>
      <c r="Z60" s="36" t="s">
        <v>352</v>
      </c>
      <c r="AA60" s="36" t="s">
        <v>352</v>
      </c>
      <c r="AB60" s="36" t="s">
        <v>352</v>
      </c>
      <c r="AC60" s="36" t="s">
        <v>352</v>
      </c>
      <c r="AD60" s="36" t="s">
        <v>352</v>
      </c>
      <c r="AE60" s="36" t="s">
        <v>352</v>
      </c>
    </row>
    <row r="61" spans="1:31" ht="15" customHeight="1" x14ac:dyDescent="0.25">
      <c r="A61" s="18">
        <v>2555</v>
      </c>
      <c r="B61" s="19">
        <v>3325</v>
      </c>
      <c r="C61" s="19" t="s">
        <v>118</v>
      </c>
      <c r="D61" s="19" t="s">
        <v>119</v>
      </c>
      <c r="E61" s="19" t="s">
        <v>57</v>
      </c>
      <c r="F61" s="19" t="s">
        <v>58</v>
      </c>
      <c r="G61" s="20" t="str">
        <f>IF(LEN(ElecLkUp[[#This Row],[Ledger Code]])&gt;3,"AR"&amp;ElecLkUp[[#This Row],[Ledger Code]],"TBC")</f>
        <v>AR3325</v>
      </c>
      <c r="H61" s="114"/>
      <c r="I61" s="114"/>
      <c r="J61" s="114"/>
      <c r="K61" s="114"/>
      <c r="L61" s="114"/>
      <c r="M61" s="114"/>
      <c r="N61" s="114"/>
      <c r="O61" s="114"/>
      <c r="P61" s="41">
        <v>1683.42</v>
      </c>
      <c r="Q61" s="41">
        <v>4426.9499999999989</v>
      </c>
      <c r="R61" s="41">
        <v>5971.54</v>
      </c>
      <c r="S61" s="41">
        <v>3771.2800000000007</v>
      </c>
      <c r="T61" s="41">
        <v>3666.51</v>
      </c>
      <c r="U61" s="41">
        <v>30768.98</v>
      </c>
      <c r="V61" s="41">
        <v>-18264.680000000004</v>
      </c>
      <c r="W61" s="41">
        <v>9.0949470177292824E-13</v>
      </c>
      <c r="X61" s="36" t="s">
        <v>352</v>
      </c>
      <c r="Y61" s="36" t="s">
        <v>352</v>
      </c>
      <c r="Z61" s="36" t="s">
        <v>352</v>
      </c>
      <c r="AA61" s="36" t="s">
        <v>352</v>
      </c>
      <c r="AB61" s="36" t="s">
        <v>352</v>
      </c>
      <c r="AC61" s="36" t="s">
        <v>352</v>
      </c>
      <c r="AD61" s="36" t="s">
        <v>352</v>
      </c>
      <c r="AE61" s="36" t="s">
        <v>352</v>
      </c>
    </row>
    <row r="62" spans="1:31" ht="15" customHeight="1" x14ac:dyDescent="0.25">
      <c r="A62" s="18">
        <v>2558</v>
      </c>
      <c r="B62" s="19">
        <v>3160</v>
      </c>
      <c r="C62" s="19" t="s">
        <v>120</v>
      </c>
      <c r="D62" s="19" t="s">
        <v>121</v>
      </c>
      <c r="E62" s="19" t="s">
        <v>57</v>
      </c>
      <c r="F62" s="19" t="s">
        <v>58</v>
      </c>
      <c r="G62" s="20" t="str">
        <f>IF(LEN(ElecLkUp[[#This Row],[Ledger Code]])&gt;3,"AR"&amp;ElecLkUp[[#This Row],[Ledger Code]],"TBC")</f>
        <v>AR3160</v>
      </c>
      <c r="H62" s="114"/>
      <c r="I62" s="114"/>
      <c r="J62" s="114"/>
      <c r="K62" s="114"/>
      <c r="L62" s="114"/>
      <c r="M62" s="114"/>
      <c r="N62" s="114"/>
      <c r="O62" s="114"/>
      <c r="P62" s="41">
        <v>1858.09</v>
      </c>
      <c r="Q62" s="41">
        <v>2477.39</v>
      </c>
      <c r="R62" s="41">
        <v>2741.31</v>
      </c>
      <c r="S62" s="41">
        <v>2637.65</v>
      </c>
      <c r="T62" s="41">
        <v>864.36</v>
      </c>
      <c r="U62" s="41">
        <v>1651.9900000000009</v>
      </c>
      <c r="V62" s="41">
        <v>2274.0599999999995</v>
      </c>
      <c r="W62" s="41">
        <v>2435.6</v>
      </c>
      <c r="X62" s="36" t="s">
        <v>352</v>
      </c>
      <c r="Y62" s="36" t="s">
        <v>352</v>
      </c>
      <c r="Z62" s="36" t="s">
        <v>352</v>
      </c>
      <c r="AA62" s="36" t="s">
        <v>352</v>
      </c>
      <c r="AB62" s="36" t="s">
        <v>352</v>
      </c>
      <c r="AC62" s="36" t="s">
        <v>352</v>
      </c>
      <c r="AD62" s="36" t="s">
        <v>352</v>
      </c>
      <c r="AE62" s="36" t="s">
        <v>352</v>
      </c>
    </row>
    <row r="63" spans="1:31" ht="15" customHeight="1" x14ac:dyDescent="0.25">
      <c r="A63" s="18">
        <v>2564</v>
      </c>
      <c r="B63" s="19">
        <v>3166</v>
      </c>
      <c r="C63" s="19" t="s">
        <v>122</v>
      </c>
      <c r="D63" s="19" t="s">
        <v>123</v>
      </c>
      <c r="E63" s="19" t="s">
        <v>57</v>
      </c>
      <c r="F63" s="19" t="s">
        <v>58</v>
      </c>
      <c r="G63" s="20" t="str">
        <f>IF(LEN(ElecLkUp[[#This Row],[Ledger Code]])&gt;3,"AR"&amp;ElecLkUp[[#This Row],[Ledger Code]],"TBC")</f>
        <v>AR3166</v>
      </c>
      <c r="H63" s="114"/>
      <c r="I63" s="114"/>
      <c r="J63" s="114"/>
      <c r="K63" s="114"/>
      <c r="L63" s="114"/>
      <c r="M63" s="114"/>
      <c r="N63" s="114"/>
      <c r="O63" s="114"/>
      <c r="P63" s="41">
        <v>2783.9900000000002</v>
      </c>
      <c r="Q63" s="41">
        <v>2750.33</v>
      </c>
      <c r="R63" s="41">
        <v>2629.6099999999997</v>
      </c>
      <c r="S63" s="41">
        <v>2575.06</v>
      </c>
      <c r="T63" s="41">
        <v>8421.32</v>
      </c>
      <c r="U63" s="41">
        <v>-291.12999999999647</v>
      </c>
      <c r="V63" s="41">
        <v>3252.08</v>
      </c>
      <c r="W63" s="41">
        <v>2376.3999999999996</v>
      </c>
      <c r="X63" s="36" t="s">
        <v>352</v>
      </c>
      <c r="Y63" s="36" t="s">
        <v>352</v>
      </c>
      <c r="Z63" s="36" t="s">
        <v>352</v>
      </c>
      <c r="AA63" s="36" t="s">
        <v>352</v>
      </c>
      <c r="AB63" s="36" t="s">
        <v>352</v>
      </c>
      <c r="AC63" s="36" t="s">
        <v>352</v>
      </c>
      <c r="AD63" s="36" t="s">
        <v>352</v>
      </c>
      <c r="AE63" s="36" t="s">
        <v>352</v>
      </c>
    </row>
    <row r="64" spans="1:31" ht="15" customHeight="1" x14ac:dyDescent="0.25">
      <c r="A64" s="18">
        <v>2566</v>
      </c>
      <c r="B64" s="19">
        <v>3168</v>
      </c>
      <c r="C64" s="19" t="s">
        <v>124</v>
      </c>
      <c r="D64" s="19" t="s">
        <v>125</v>
      </c>
      <c r="E64" s="19" t="s">
        <v>57</v>
      </c>
      <c r="F64" s="19" t="s">
        <v>58</v>
      </c>
      <c r="G64" s="20" t="str">
        <f>IF(LEN(ElecLkUp[[#This Row],[Ledger Code]])&gt;3,"AR"&amp;ElecLkUp[[#This Row],[Ledger Code]],"TBC")</f>
        <v>AR3168</v>
      </c>
      <c r="H64" s="114"/>
      <c r="I64" s="114"/>
      <c r="J64" s="114"/>
      <c r="K64" s="114"/>
      <c r="L64" s="114"/>
      <c r="M64" s="114"/>
      <c r="N64" s="114"/>
      <c r="O64" s="114"/>
      <c r="P64" s="41">
        <v>320.01</v>
      </c>
      <c r="Q64" s="41">
        <v>3051.9</v>
      </c>
      <c r="R64" s="41">
        <v>2672.21</v>
      </c>
      <c r="S64" s="41">
        <v>2927.9</v>
      </c>
      <c r="T64" s="41">
        <v>1901.49</v>
      </c>
      <c r="U64" s="41">
        <v>1867.3900000000003</v>
      </c>
      <c r="V64" s="41">
        <v>2886.96</v>
      </c>
      <c r="W64" s="41">
        <v>2963.37</v>
      </c>
      <c r="X64" s="36" t="s">
        <v>352</v>
      </c>
      <c r="Y64" s="36" t="s">
        <v>352</v>
      </c>
      <c r="Z64" s="36" t="s">
        <v>352</v>
      </c>
      <c r="AA64" s="36" t="s">
        <v>352</v>
      </c>
      <c r="AB64" s="36" t="s">
        <v>352</v>
      </c>
      <c r="AC64" s="36" t="s">
        <v>352</v>
      </c>
      <c r="AD64" s="36" t="s">
        <v>352</v>
      </c>
      <c r="AE64" s="36" t="s">
        <v>352</v>
      </c>
    </row>
    <row r="65" spans="1:31" ht="15" customHeight="1" x14ac:dyDescent="0.25">
      <c r="A65" s="18">
        <v>2570</v>
      </c>
      <c r="B65" s="19">
        <v>3209</v>
      </c>
      <c r="C65" s="19" t="s">
        <v>126</v>
      </c>
      <c r="D65" s="19" t="s">
        <v>127</v>
      </c>
      <c r="E65" s="19" t="s">
        <v>57</v>
      </c>
      <c r="F65" s="19" t="s">
        <v>58</v>
      </c>
      <c r="G65" s="20" t="str">
        <f>IF(LEN(ElecLkUp[[#This Row],[Ledger Code]])&gt;3,"AR"&amp;ElecLkUp[[#This Row],[Ledger Code]],"TBC")</f>
        <v>AR3209</v>
      </c>
      <c r="H65" s="114">
        <v>0</v>
      </c>
      <c r="I65" s="114">
        <v>0</v>
      </c>
      <c r="J65" s="114">
        <v>0</v>
      </c>
      <c r="K65" s="114">
        <v>0</v>
      </c>
      <c r="L65" s="114">
        <v>7072</v>
      </c>
      <c r="M65" s="114">
        <v>8073</v>
      </c>
      <c r="N65" s="114">
        <v>2586</v>
      </c>
      <c r="O65" s="114">
        <v>9721</v>
      </c>
      <c r="P65" s="41">
        <v>0</v>
      </c>
      <c r="Q65" s="41">
        <v>-1337.24</v>
      </c>
      <c r="R65" s="41">
        <v>4620.22</v>
      </c>
      <c r="S65" s="41">
        <v>1883.29</v>
      </c>
      <c r="T65" s="41">
        <v>990.55</v>
      </c>
      <c r="U65" s="41">
        <v>1135.9800000000005</v>
      </c>
      <c r="V65" s="41">
        <v>750.75999999999783</v>
      </c>
      <c r="W65" s="41">
        <v>1301.0599999999968</v>
      </c>
      <c r="X65" s="36">
        <v>0</v>
      </c>
      <c r="Y65" s="36">
        <v>0</v>
      </c>
      <c r="Z65" s="36">
        <v>0</v>
      </c>
      <c r="AA65" s="36">
        <v>0</v>
      </c>
      <c r="AB65" s="36">
        <v>7072</v>
      </c>
      <c r="AC65" s="36">
        <v>8073</v>
      </c>
      <c r="AD65" s="36">
        <v>204555</v>
      </c>
      <c r="AE65" s="36">
        <v>183448</v>
      </c>
    </row>
    <row r="66" spans="1:31" ht="15" customHeight="1" x14ac:dyDescent="0.25">
      <c r="A66" s="18">
        <v>2571</v>
      </c>
      <c r="B66" s="19">
        <v>3172</v>
      </c>
      <c r="C66" s="19" t="s">
        <v>128</v>
      </c>
      <c r="D66" s="19" t="s">
        <v>129</v>
      </c>
      <c r="E66" s="19" t="s">
        <v>57</v>
      </c>
      <c r="F66" s="19" t="s">
        <v>58</v>
      </c>
      <c r="G66" s="20" t="str">
        <f>IF(LEN(ElecLkUp[[#This Row],[Ledger Code]])&gt;3,"AR"&amp;ElecLkUp[[#This Row],[Ledger Code]],"TBC")</f>
        <v>AR3172</v>
      </c>
      <c r="H66" s="114"/>
      <c r="I66" s="114"/>
      <c r="J66" s="114"/>
      <c r="K66" s="114"/>
      <c r="L66" s="114"/>
      <c r="M66" s="114"/>
      <c r="N66" s="114"/>
      <c r="O66" s="114"/>
      <c r="P66" s="41">
        <v>1342.6799999999998</v>
      </c>
      <c r="Q66" s="41">
        <v>4091.2</v>
      </c>
      <c r="R66" s="41">
        <v>3558.53</v>
      </c>
      <c r="S66" s="41">
        <v>3540.9399999999996</v>
      </c>
      <c r="T66" s="41">
        <v>2685.83</v>
      </c>
      <c r="U66" s="41">
        <v>2830.0700000000006</v>
      </c>
      <c r="V66" s="41">
        <v>3402</v>
      </c>
      <c r="W66" s="41">
        <v>4595.25</v>
      </c>
      <c r="X66" s="36" t="s">
        <v>352</v>
      </c>
      <c r="Y66" s="36" t="s">
        <v>352</v>
      </c>
      <c r="Z66" s="36" t="s">
        <v>352</v>
      </c>
      <c r="AA66" s="36" t="s">
        <v>352</v>
      </c>
      <c r="AB66" s="36" t="s">
        <v>352</v>
      </c>
      <c r="AC66" s="36" t="s">
        <v>352</v>
      </c>
      <c r="AD66" s="36" t="s">
        <v>352</v>
      </c>
      <c r="AE66" s="36" t="s">
        <v>352</v>
      </c>
    </row>
    <row r="67" spans="1:31" ht="15" customHeight="1" x14ac:dyDescent="0.25">
      <c r="A67" s="18">
        <v>2572</v>
      </c>
      <c r="B67" s="19">
        <v>3173</v>
      </c>
      <c r="C67" s="19" t="s">
        <v>130</v>
      </c>
      <c r="D67" s="19" t="s">
        <v>131</v>
      </c>
      <c r="E67" s="19" t="s">
        <v>57</v>
      </c>
      <c r="F67" s="19" t="s">
        <v>58</v>
      </c>
      <c r="G67" s="20" t="str">
        <f>IF(LEN(ElecLkUp[[#This Row],[Ledger Code]])&gt;3,"AR"&amp;ElecLkUp[[#This Row],[Ledger Code]],"TBC")</f>
        <v>AR3173</v>
      </c>
      <c r="H67" s="114"/>
      <c r="I67" s="114"/>
      <c r="J67" s="114"/>
      <c r="K67" s="114"/>
      <c r="L67" s="114"/>
      <c r="M67" s="114"/>
      <c r="N67" s="114"/>
      <c r="O67" s="114"/>
      <c r="P67" s="41">
        <v>4243.2899999999991</v>
      </c>
      <c r="Q67" s="41">
        <v>4572.08</v>
      </c>
      <c r="R67" s="41">
        <v>4349.7099999999991</v>
      </c>
      <c r="S67" s="41">
        <v>1551.8500000000004</v>
      </c>
      <c r="T67" s="41">
        <v>3173.16</v>
      </c>
      <c r="U67" s="41">
        <v>5349.86</v>
      </c>
      <c r="V67" s="41">
        <v>4098.79</v>
      </c>
      <c r="W67" s="41">
        <v>4061.84</v>
      </c>
      <c r="X67" s="36" t="s">
        <v>352</v>
      </c>
      <c r="Y67" s="36" t="s">
        <v>352</v>
      </c>
      <c r="Z67" s="36" t="s">
        <v>352</v>
      </c>
      <c r="AA67" s="36" t="s">
        <v>352</v>
      </c>
      <c r="AB67" s="36" t="s">
        <v>352</v>
      </c>
      <c r="AC67" s="36" t="s">
        <v>352</v>
      </c>
      <c r="AD67" s="36" t="s">
        <v>352</v>
      </c>
      <c r="AE67" s="36" t="s">
        <v>352</v>
      </c>
    </row>
    <row r="68" spans="1:31" ht="15" customHeight="1" x14ac:dyDescent="0.25">
      <c r="A68" s="18">
        <v>2580</v>
      </c>
      <c r="B68" s="19">
        <v>3181</v>
      </c>
      <c r="C68" s="19" t="s">
        <v>132</v>
      </c>
      <c r="D68" s="19" t="s">
        <v>133</v>
      </c>
      <c r="E68" s="19" t="s">
        <v>57</v>
      </c>
      <c r="F68" s="19" t="s">
        <v>58</v>
      </c>
      <c r="G68" s="20" t="str">
        <f>IF(LEN(ElecLkUp[[#This Row],[Ledger Code]])&gt;3,"AR"&amp;ElecLkUp[[#This Row],[Ledger Code]],"TBC")</f>
        <v>AR3181</v>
      </c>
      <c r="H68" s="114"/>
      <c r="I68" s="114"/>
      <c r="J68" s="114"/>
      <c r="K68" s="114"/>
      <c r="L68" s="114"/>
      <c r="M68" s="114"/>
      <c r="N68" s="114"/>
      <c r="O68" s="114"/>
      <c r="P68" s="41">
        <v>2170.37</v>
      </c>
      <c r="Q68" s="41">
        <v>3061.88</v>
      </c>
      <c r="R68" s="41">
        <v>3526.45</v>
      </c>
      <c r="S68" s="41">
        <v>3546.31</v>
      </c>
      <c r="T68" s="41">
        <v>1175.3699999999999</v>
      </c>
      <c r="U68" s="41">
        <v>3799.329999999999</v>
      </c>
      <c r="V68" s="41">
        <v>3158.1100000000006</v>
      </c>
      <c r="W68" s="41">
        <v>3288.9699999999993</v>
      </c>
      <c r="X68" s="36" t="s">
        <v>352</v>
      </c>
      <c r="Y68" s="36" t="s">
        <v>352</v>
      </c>
      <c r="Z68" s="36" t="s">
        <v>352</v>
      </c>
      <c r="AA68" s="36" t="s">
        <v>352</v>
      </c>
      <c r="AB68" s="36" t="s">
        <v>352</v>
      </c>
      <c r="AC68" s="36" t="s">
        <v>352</v>
      </c>
      <c r="AD68" s="36" t="s">
        <v>352</v>
      </c>
      <c r="AE68" s="36" t="s">
        <v>352</v>
      </c>
    </row>
    <row r="69" spans="1:31" ht="15" customHeight="1" x14ac:dyDescent="0.25">
      <c r="A69" s="18">
        <v>2584</v>
      </c>
      <c r="B69" s="19">
        <v>3185</v>
      </c>
      <c r="C69" s="19" t="s">
        <v>134</v>
      </c>
      <c r="D69" s="19" t="s">
        <v>135</v>
      </c>
      <c r="E69" s="19" t="s">
        <v>57</v>
      </c>
      <c r="F69" s="19" t="s">
        <v>58</v>
      </c>
      <c r="G69" s="20" t="str">
        <f>IF(LEN(ElecLkUp[[#This Row],[Ledger Code]])&gt;3,"AR"&amp;ElecLkUp[[#This Row],[Ledger Code]],"TBC")</f>
        <v>AR3185</v>
      </c>
      <c r="H69" s="114"/>
      <c r="I69" s="114"/>
      <c r="J69" s="114"/>
      <c r="K69" s="114"/>
      <c r="L69" s="114"/>
      <c r="M69" s="114"/>
      <c r="N69" s="114"/>
      <c r="O69" s="114"/>
      <c r="P69" s="41">
        <v>2027.55</v>
      </c>
      <c r="Q69" s="41">
        <v>4422.84</v>
      </c>
      <c r="R69" s="41">
        <v>3954.98</v>
      </c>
      <c r="S69" s="41">
        <v>3806.7200000000003</v>
      </c>
      <c r="T69" s="41">
        <v>3086.76</v>
      </c>
      <c r="U69" s="41">
        <v>341.11000000000166</v>
      </c>
      <c r="V69" s="41">
        <v>3334.8099999999995</v>
      </c>
      <c r="W69" s="41">
        <v>3725.3500000000004</v>
      </c>
      <c r="X69" s="36" t="s">
        <v>352</v>
      </c>
      <c r="Y69" s="36" t="s">
        <v>352</v>
      </c>
      <c r="Z69" s="36" t="s">
        <v>352</v>
      </c>
      <c r="AA69" s="36" t="s">
        <v>352</v>
      </c>
      <c r="AB69" s="36" t="s">
        <v>352</v>
      </c>
      <c r="AC69" s="36" t="s">
        <v>352</v>
      </c>
      <c r="AD69" s="36" t="s">
        <v>352</v>
      </c>
      <c r="AE69" s="36" t="s">
        <v>352</v>
      </c>
    </row>
    <row r="70" spans="1:31" ht="15" customHeight="1" x14ac:dyDescent="0.25">
      <c r="A70" s="18">
        <v>2587</v>
      </c>
      <c r="B70" s="19">
        <v>3188</v>
      </c>
      <c r="C70" s="19" t="s">
        <v>136</v>
      </c>
      <c r="D70" s="19" t="s">
        <v>137</v>
      </c>
      <c r="E70" s="19" t="s">
        <v>57</v>
      </c>
      <c r="F70" s="19" t="s">
        <v>58</v>
      </c>
      <c r="G70" s="20" t="str">
        <f>IF(LEN(ElecLkUp[[#This Row],[Ledger Code]])&gt;3,"AR"&amp;ElecLkUp[[#This Row],[Ledger Code]],"TBC")</f>
        <v>AR3188</v>
      </c>
      <c r="H70" s="114"/>
      <c r="I70" s="114"/>
      <c r="J70" s="114"/>
      <c r="K70" s="114"/>
      <c r="L70" s="114"/>
      <c r="M70" s="114"/>
      <c r="N70" s="114"/>
      <c r="O70" s="114"/>
      <c r="P70" s="41">
        <v>3031.6299999999997</v>
      </c>
      <c r="Q70" s="41">
        <v>8163.9699999999993</v>
      </c>
      <c r="R70" s="41">
        <v>1676.0900000000004</v>
      </c>
      <c r="S70" s="41">
        <v>243.59000000000026</v>
      </c>
      <c r="T70" s="41">
        <v>14175.68</v>
      </c>
      <c r="U70" s="41">
        <v>3466.3800000000006</v>
      </c>
      <c r="V70" s="41">
        <v>8811.07</v>
      </c>
      <c r="W70" s="41">
        <v>198.80999999999995</v>
      </c>
      <c r="X70" s="36" t="s">
        <v>352</v>
      </c>
      <c r="Y70" s="36" t="s">
        <v>352</v>
      </c>
      <c r="Z70" s="36" t="s">
        <v>352</v>
      </c>
      <c r="AA70" s="36" t="s">
        <v>352</v>
      </c>
      <c r="AB70" s="36" t="s">
        <v>352</v>
      </c>
      <c r="AC70" s="36" t="s">
        <v>352</v>
      </c>
      <c r="AD70" s="36" t="s">
        <v>352</v>
      </c>
      <c r="AE70" s="36" t="s">
        <v>352</v>
      </c>
    </row>
    <row r="71" spans="1:31" ht="15" customHeight="1" x14ac:dyDescent="0.25">
      <c r="A71" s="18">
        <v>2594</v>
      </c>
      <c r="B71" s="19">
        <v>3197</v>
      </c>
      <c r="C71" s="19" t="s">
        <v>138</v>
      </c>
      <c r="D71" s="19" t="s">
        <v>139</v>
      </c>
      <c r="E71" s="19" t="s">
        <v>57</v>
      </c>
      <c r="F71" s="19" t="s">
        <v>58</v>
      </c>
      <c r="G71" s="20" t="str">
        <f>IF(LEN(ElecLkUp[[#This Row],[Ledger Code]])&gt;3,"AR"&amp;ElecLkUp[[#This Row],[Ledger Code]],"TBC")</f>
        <v>AR3197</v>
      </c>
      <c r="H71" s="114"/>
      <c r="I71" s="114"/>
      <c r="J71" s="114"/>
      <c r="K71" s="114"/>
      <c r="L71" s="114"/>
      <c r="M71" s="114"/>
      <c r="N71" s="114"/>
      <c r="O71" s="114"/>
      <c r="P71" s="41">
        <v>1176.97</v>
      </c>
      <c r="Q71" s="41">
        <v>2821.9</v>
      </c>
      <c r="R71" s="41">
        <v>7018.9</v>
      </c>
      <c r="S71" s="41">
        <v>0</v>
      </c>
      <c r="T71" s="41">
        <v>3493.380000000001</v>
      </c>
      <c r="U71" s="41">
        <v>3208.5800000000017</v>
      </c>
      <c r="V71" s="41">
        <v>7034.91</v>
      </c>
      <c r="W71" s="41">
        <v>0</v>
      </c>
      <c r="X71" s="36" t="s">
        <v>352</v>
      </c>
      <c r="Y71" s="36" t="s">
        <v>352</v>
      </c>
      <c r="Z71" s="36" t="s">
        <v>352</v>
      </c>
      <c r="AA71" s="36" t="s">
        <v>352</v>
      </c>
      <c r="AB71" s="36" t="s">
        <v>352</v>
      </c>
      <c r="AC71" s="36" t="s">
        <v>352</v>
      </c>
      <c r="AD71" s="36" t="s">
        <v>352</v>
      </c>
      <c r="AE71" s="36" t="s">
        <v>352</v>
      </c>
    </row>
    <row r="72" spans="1:31" ht="15" customHeight="1" x14ac:dyDescent="0.25">
      <c r="A72" s="18">
        <v>2603</v>
      </c>
      <c r="B72" s="19">
        <v>3206</v>
      </c>
      <c r="C72" s="19" t="s">
        <v>140</v>
      </c>
      <c r="D72" s="19" t="s">
        <v>141</v>
      </c>
      <c r="E72" s="19" t="s">
        <v>57</v>
      </c>
      <c r="F72" s="19" t="s">
        <v>58</v>
      </c>
      <c r="G72" s="20" t="str">
        <f>IF(LEN(ElecLkUp[[#This Row],[Ledger Code]])&gt;3,"AR"&amp;ElecLkUp[[#This Row],[Ledger Code]],"TBC")</f>
        <v>AR3206</v>
      </c>
      <c r="H72" s="114"/>
      <c r="I72" s="114"/>
      <c r="J72" s="114"/>
      <c r="K72" s="114"/>
      <c r="L72" s="114"/>
      <c r="M72" s="114"/>
      <c r="N72" s="114"/>
      <c r="O72" s="114"/>
      <c r="P72" s="41">
        <v>3955.12</v>
      </c>
      <c r="Q72" s="41">
        <v>6104.09</v>
      </c>
      <c r="R72" s="41">
        <v>3066.5200000000009</v>
      </c>
      <c r="S72" s="41">
        <v>6510.130000000001</v>
      </c>
      <c r="T72" s="41">
        <v>4638.41</v>
      </c>
      <c r="U72" s="41">
        <v>8541.1000000000022</v>
      </c>
      <c r="V72" s="41">
        <v>8449.7200000000012</v>
      </c>
      <c r="W72" s="41">
        <v>4114.25</v>
      </c>
      <c r="X72" s="36" t="s">
        <v>352</v>
      </c>
      <c r="Y72" s="36" t="s">
        <v>352</v>
      </c>
      <c r="Z72" s="36" t="s">
        <v>352</v>
      </c>
      <c r="AA72" s="36" t="s">
        <v>352</v>
      </c>
      <c r="AB72" s="36" t="s">
        <v>352</v>
      </c>
      <c r="AC72" s="36" t="s">
        <v>352</v>
      </c>
      <c r="AD72" s="36" t="s">
        <v>352</v>
      </c>
      <c r="AE72" s="36" t="s">
        <v>352</v>
      </c>
    </row>
    <row r="73" spans="1:31" ht="15" customHeight="1" x14ac:dyDescent="0.25">
      <c r="A73" s="18">
        <v>2610</v>
      </c>
      <c r="B73" s="19">
        <v>3214</v>
      </c>
      <c r="C73" s="19" t="s">
        <v>142</v>
      </c>
      <c r="D73" s="19" t="s">
        <v>143</v>
      </c>
      <c r="E73" s="19" t="s">
        <v>57</v>
      </c>
      <c r="F73" s="19" t="s">
        <v>58</v>
      </c>
      <c r="G73" s="20" t="str">
        <f>IF(LEN(ElecLkUp[[#This Row],[Ledger Code]])&gt;3,"AR"&amp;ElecLkUp[[#This Row],[Ledger Code]],"TBC")</f>
        <v>AR3214</v>
      </c>
      <c r="H73" s="114"/>
      <c r="I73" s="114"/>
      <c r="J73" s="114"/>
      <c r="K73" s="114"/>
      <c r="L73" s="114"/>
      <c r="M73" s="114"/>
      <c r="N73" s="114"/>
      <c r="O73" s="114"/>
      <c r="P73" s="41">
        <v>0</v>
      </c>
      <c r="Q73" s="41">
        <v>1437.3799999999999</v>
      </c>
      <c r="R73" s="41">
        <v>693.49</v>
      </c>
      <c r="S73" s="41">
        <v>1091.69</v>
      </c>
      <c r="T73" s="41">
        <v>2441.71</v>
      </c>
      <c r="U73" s="41">
        <v>1320.8499999999992</v>
      </c>
      <c r="V73" s="41">
        <v>956.7199999999998</v>
      </c>
      <c r="W73" s="41">
        <v>1125.1600000000003</v>
      </c>
      <c r="X73" s="36" t="s">
        <v>352</v>
      </c>
      <c r="Y73" s="36" t="s">
        <v>352</v>
      </c>
      <c r="Z73" s="36" t="s">
        <v>352</v>
      </c>
      <c r="AA73" s="36" t="s">
        <v>352</v>
      </c>
      <c r="AB73" s="36" t="s">
        <v>352</v>
      </c>
      <c r="AC73" s="36" t="s">
        <v>352</v>
      </c>
      <c r="AD73" s="36" t="s">
        <v>352</v>
      </c>
      <c r="AE73" s="36" t="s">
        <v>352</v>
      </c>
    </row>
    <row r="74" spans="1:31" ht="15" customHeight="1" x14ac:dyDescent="0.25">
      <c r="A74" s="18">
        <v>2611</v>
      </c>
      <c r="B74" s="19">
        <v>3216</v>
      </c>
      <c r="C74" s="19" t="s">
        <v>144</v>
      </c>
      <c r="D74" s="19" t="s">
        <v>145</v>
      </c>
      <c r="E74" s="19" t="s">
        <v>57</v>
      </c>
      <c r="F74" s="19" t="s">
        <v>58</v>
      </c>
      <c r="G74" s="20" t="str">
        <f>IF(LEN(ElecLkUp[[#This Row],[Ledger Code]])&gt;3,"AR"&amp;ElecLkUp[[#This Row],[Ledger Code]],"TBC")</f>
        <v>AR3216</v>
      </c>
      <c r="H74" s="114"/>
      <c r="I74" s="114"/>
      <c r="J74" s="114"/>
      <c r="K74" s="114"/>
      <c r="L74" s="114"/>
      <c r="M74" s="114"/>
      <c r="N74" s="114"/>
      <c r="O74" s="114"/>
      <c r="P74" s="41">
        <v>810.03</v>
      </c>
      <c r="Q74" s="41">
        <v>2028.89</v>
      </c>
      <c r="R74" s="41">
        <v>1268.45</v>
      </c>
      <c r="S74" s="41">
        <v>2043.59</v>
      </c>
      <c r="T74" s="41">
        <v>454.18</v>
      </c>
      <c r="U74" s="41">
        <v>1026.6899999999996</v>
      </c>
      <c r="V74" s="41">
        <v>1531.83</v>
      </c>
      <c r="W74" s="41">
        <v>1611.3000000000002</v>
      </c>
      <c r="X74" s="36" t="s">
        <v>352</v>
      </c>
      <c r="Y74" s="36" t="s">
        <v>352</v>
      </c>
      <c r="Z74" s="36" t="s">
        <v>352</v>
      </c>
      <c r="AA74" s="36" t="s">
        <v>352</v>
      </c>
      <c r="AB74" s="36" t="s">
        <v>352</v>
      </c>
      <c r="AC74" s="36" t="s">
        <v>352</v>
      </c>
      <c r="AD74" s="36" t="s">
        <v>352</v>
      </c>
      <c r="AE74" s="36" t="s">
        <v>352</v>
      </c>
    </row>
    <row r="75" spans="1:31" ht="15" customHeight="1" x14ac:dyDescent="0.25">
      <c r="A75" s="18">
        <v>2612</v>
      </c>
      <c r="B75" s="19">
        <v>3208</v>
      </c>
      <c r="C75" s="19" t="s">
        <v>146</v>
      </c>
      <c r="D75" s="19" t="s">
        <v>147</v>
      </c>
      <c r="E75" s="19" t="s">
        <v>57</v>
      </c>
      <c r="F75" s="19" t="s">
        <v>58</v>
      </c>
      <c r="G75" s="20" t="str">
        <f>IF(LEN(ElecLkUp[[#This Row],[Ledger Code]])&gt;3,"AR"&amp;ElecLkUp[[#This Row],[Ledger Code]],"TBC")</f>
        <v>AR3208</v>
      </c>
      <c r="H75" s="114"/>
      <c r="I75" s="114"/>
      <c r="J75" s="114"/>
      <c r="K75" s="114"/>
      <c r="L75" s="114"/>
      <c r="M75" s="114"/>
      <c r="N75" s="114"/>
      <c r="O75" s="114"/>
      <c r="P75" s="41">
        <v>3082.54</v>
      </c>
      <c r="Q75" s="41">
        <v>4425.04</v>
      </c>
      <c r="R75" s="41">
        <v>4722.2700000000004</v>
      </c>
      <c r="S75" s="41">
        <v>5003.2</v>
      </c>
      <c r="T75" s="41">
        <v>1719.99</v>
      </c>
      <c r="U75" s="41">
        <v>5027.8700000000008</v>
      </c>
      <c r="V75" s="41">
        <v>4988.41</v>
      </c>
      <c r="W75" s="41">
        <v>5361.9300000000012</v>
      </c>
      <c r="X75" s="36" t="s">
        <v>352</v>
      </c>
      <c r="Y75" s="36" t="s">
        <v>352</v>
      </c>
      <c r="Z75" s="36" t="s">
        <v>352</v>
      </c>
      <c r="AA75" s="36" t="s">
        <v>352</v>
      </c>
      <c r="AB75" s="36" t="s">
        <v>352</v>
      </c>
      <c r="AC75" s="36" t="s">
        <v>352</v>
      </c>
      <c r="AD75" s="36" t="s">
        <v>352</v>
      </c>
      <c r="AE75" s="36" t="s">
        <v>352</v>
      </c>
    </row>
    <row r="76" spans="1:31" ht="15" customHeight="1" x14ac:dyDescent="0.25">
      <c r="A76" s="18">
        <v>2640</v>
      </c>
      <c r="B76" s="19">
        <v>3394</v>
      </c>
      <c r="C76" s="19" t="s">
        <v>148</v>
      </c>
      <c r="D76" s="19" t="s">
        <v>149</v>
      </c>
      <c r="E76" s="19" t="s">
        <v>57</v>
      </c>
      <c r="F76" s="19" t="s">
        <v>58</v>
      </c>
      <c r="G76" s="20" t="str">
        <f>IF(LEN(ElecLkUp[[#This Row],[Ledger Code]])&gt;3,"AR"&amp;ElecLkUp[[#This Row],[Ledger Code]],"TBC")</f>
        <v>AR3394</v>
      </c>
      <c r="H76" s="114"/>
      <c r="I76" s="114"/>
      <c r="J76" s="114"/>
      <c r="K76" s="114"/>
      <c r="L76" s="114"/>
      <c r="M76" s="114"/>
      <c r="N76" s="114"/>
      <c r="O76" s="114"/>
      <c r="P76" s="41">
        <v>1978.4299999999998</v>
      </c>
      <c r="Q76" s="41">
        <v>2640</v>
      </c>
      <c r="R76" s="41">
        <v>2755.2</v>
      </c>
      <c r="S76" s="41">
        <v>3166.24</v>
      </c>
      <c r="T76" s="41">
        <v>1205.1400000000001</v>
      </c>
      <c r="U76" s="41">
        <v>3765.7300000000009</v>
      </c>
      <c r="V76" s="41">
        <v>3053.5200000000004</v>
      </c>
      <c r="W76" s="41">
        <v>3263.4100000000012</v>
      </c>
      <c r="X76" s="36" t="s">
        <v>352</v>
      </c>
      <c r="Y76" s="36" t="s">
        <v>352</v>
      </c>
      <c r="Z76" s="36" t="s">
        <v>352</v>
      </c>
      <c r="AA76" s="36" t="s">
        <v>352</v>
      </c>
      <c r="AB76" s="36" t="s">
        <v>352</v>
      </c>
      <c r="AC76" s="36" t="s">
        <v>352</v>
      </c>
      <c r="AD76" s="36" t="s">
        <v>352</v>
      </c>
      <c r="AE76" s="36" t="s">
        <v>352</v>
      </c>
    </row>
    <row r="77" spans="1:31" ht="15" customHeight="1" x14ac:dyDescent="0.25">
      <c r="A77" s="18">
        <v>2643</v>
      </c>
      <c r="B77" s="19">
        <v>3398</v>
      </c>
      <c r="C77" s="19" t="s">
        <v>150</v>
      </c>
      <c r="D77" s="19" t="s">
        <v>151</v>
      </c>
      <c r="E77" s="19" t="s">
        <v>57</v>
      </c>
      <c r="F77" s="19" t="s">
        <v>58</v>
      </c>
      <c r="G77" s="20" t="str">
        <f>IF(LEN(ElecLkUp[[#This Row],[Ledger Code]])&gt;3,"AR"&amp;ElecLkUp[[#This Row],[Ledger Code]],"TBC")</f>
        <v>AR3398</v>
      </c>
      <c r="H77" s="114"/>
      <c r="I77" s="114"/>
      <c r="J77" s="114"/>
      <c r="K77" s="114"/>
      <c r="L77" s="114"/>
      <c r="M77" s="114"/>
      <c r="N77" s="114"/>
      <c r="O77" s="114"/>
      <c r="P77" s="41">
        <v>0</v>
      </c>
      <c r="Q77" s="41">
        <v>0</v>
      </c>
      <c r="R77" s="41">
        <v>4010.66</v>
      </c>
      <c r="S77" s="41">
        <v>5887.2199999999993</v>
      </c>
      <c r="T77" s="41">
        <v>3290.96</v>
      </c>
      <c r="U77" s="41">
        <v>912.04</v>
      </c>
      <c r="V77" s="41">
        <v>3422.3399999999992</v>
      </c>
      <c r="W77" s="41">
        <v>9.0949470177292824E-13</v>
      </c>
      <c r="X77" s="36" t="s">
        <v>352</v>
      </c>
      <c r="Y77" s="36" t="s">
        <v>352</v>
      </c>
      <c r="Z77" s="36" t="s">
        <v>352</v>
      </c>
      <c r="AA77" s="36" t="s">
        <v>352</v>
      </c>
      <c r="AB77" s="36" t="s">
        <v>352</v>
      </c>
      <c r="AC77" s="36" t="s">
        <v>352</v>
      </c>
      <c r="AD77" s="36" t="s">
        <v>352</v>
      </c>
      <c r="AE77" s="36" t="s">
        <v>352</v>
      </c>
    </row>
    <row r="78" spans="1:31" ht="15" customHeight="1" x14ac:dyDescent="0.25">
      <c r="A78" s="18">
        <v>2647</v>
      </c>
      <c r="B78" s="19">
        <v>3404</v>
      </c>
      <c r="C78" s="19" t="s">
        <v>152</v>
      </c>
      <c r="D78" s="19" t="s">
        <v>153</v>
      </c>
      <c r="E78" s="19" t="s">
        <v>57</v>
      </c>
      <c r="F78" s="19" t="s">
        <v>58</v>
      </c>
      <c r="G78" s="20" t="str">
        <f>IF(LEN(ElecLkUp[[#This Row],[Ledger Code]])&gt;3,"AR"&amp;ElecLkUp[[#This Row],[Ledger Code]],"TBC")</f>
        <v>AR3404</v>
      </c>
      <c r="H78" s="114"/>
      <c r="I78" s="114"/>
      <c r="J78" s="114"/>
      <c r="K78" s="114"/>
      <c r="L78" s="114"/>
      <c r="M78" s="114"/>
      <c r="N78" s="114"/>
      <c r="O78" s="114"/>
      <c r="P78" s="41">
        <v>2691.66</v>
      </c>
      <c r="Q78" s="41">
        <v>6900.2799999999988</v>
      </c>
      <c r="R78" s="41">
        <v>8052.8900000000031</v>
      </c>
      <c r="S78" s="41">
        <v>9484.2200000000012</v>
      </c>
      <c r="T78" s="41">
        <v>5278.98</v>
      </c>
      <c r="U78" s="41">
        <v>11871.769999999997</v>
      </c>
      <c r="V78" s="41">
        <v>7957.8399999999983</v>
      </c>
      <c r="W78" s="41">
        <v>2856.32</v>
      </c>
      <c r="X78" s="36" t="s">
        <v>352</v>
      </c>
      <c r="Y78" s="36" t="s">
        <v>352</v>
      </c>
      <c r="Z78" s="36" t="s">
        <v>352</v>
      </c>
      <c r="AA78" s="36" t="s">
        <v>352</v>
      </c>
      <c r="AB78" s="36" t="s">
        <v>352</v>
      </c>
      <c r="AC78" s="36" t="s">
        <v>352</v>
      </c>
      <c r="AD78" s="36" t="s">
        <v>352</v>
      </c>
      <c r="AE78" s="36" t="s">
        <v>352</v>
      </c>
    </row>
    <row r="79" spans="1:31" ht="15" customHeight="1" x14ac:dyDescent="0.25">
      <c r="A79" s="18">
        <v>2648</v>
      </c>
      <c r="B79" s="19">
        <v>3409</v>
      </c>
      <c r="C79" s="19" t="s">
        <v>332</v>
      </c>
      <c r="D79" s="19" t="s">
        <v>333</v>
      </c>
      <c r="E79" s="19" t="s">
        <v>57</v>
      </c>
      <c r="F79" s="19" t="s">
        <v>58</v>
      </c>
      <c r="G79" s="20" t="str">
        <f>IF(LEN(ElecLkUp[[#This Row],[Ledger Code]])&gt;3,"AR"&amp;ElecLkUp[[#This Row],[Ledger Code]],"TBC")</f>
        <v>AR3409</v>
      </c>
      <c r="H79" s="114"/>
      <c r="I79" s="114"/>
      <c r="J79" s="114"/>
      <c r="K79" s="114"/>
      <c r="L79" s="114"/>
      <c r="M79" s="114"/>
      <c r="N79" s="114"/>
      <c r="O79" s="114"/>
      <c r="P79" s="41">
        <v>0</v>
      </c>
      <c r="Q79" s="41">
        <v>0</v>
      </c>
      <c r="R79" s="41">
        <v>1380.5</v>
      </c>
      <c r="S79" s="41">
        <v>1778.39</v>
      </c>
      <c r="T79" s="41">
        <v>1757.77</v>
      </c>
      <c r="U79" s="41">
        <v>1236</v>
      </c>
      <c r="V79" s="41">
        <v>1129.5999999999999</v>
      </c>
      <c r="W79" s="41">
        <v>2226.64</v>
      </c>
      <c r="X79" s="36" t="s">
        <v>352</v>
      </c>
      <c r="Y79" s="36" t="s">
        <v>352</v>
      </c>
      <c r="Z79" s="36" t="s">
        <v>352</v>
      </c>
      <c r="AA79" s="36" t="s">
        <v>352</v>
      </c>
      <c r="AB79" s="36" t="s">
        <v>352</v>
      </c>
      <c r="AC79" s="36" t="s">
        <v>352</v>
      </c>
      <c r="AD79" s="36" t="s">
        <v>352</v>
      </c>
      <c r="AE79" s="36" t="s">
        <v>352</v>
      </c>
    </row>
    <row r="80" spans="1:31" ht="15" customHeight="1" x14ac:dyDescent="0.25">
      <c r="A80" s="18">
        <v>2656</v>
      </c>
      <c r="B80" s="19">
        <v>3415</v>
      </c>
      <c r="C80" s="19" t="s">
        <v>154</v>
      </c>
      <c r="D80" s="19" t="s">
        <v>115</v>
      </c>
      <c r="E80" s="19" t="s">
        <v>57</v>
      </c>
      <c r="F80" s="19" t="s">
        <v>58</v>
      </c>
      <c r="G80" s="20" t="str">
        <f>IF(LEN(ElecLkUp[[#This Row],[Ledger Code]])&gt;3,"AR"&amp;ElecLkUp[[#This Row],[Ledger Code]],"TBC")</f>
        <v>AR3415</v>
      </c>
      <c r="H80" s="114"/>
      <c r="I80" s="114"/>
      <c r="J80" s="114"/>
      <c r="K80" s="114"/>
      <c r="L80" s="114"/>
      <c r="M80" s="114"/>
      <c r="N80" s="114"/>
      <c r="O80" s="114"/>
      <c r="P80" s="41">
        <v>761</v>
      </c>
      <c r="Q80" s="41">
        <v>0</v>
      </c>
      <c r="R80" s="41">
        <v>1895.2</v>
      </c>
      <c r="S80" s="41">
        <v>310.32000000000062</v>
      </c>
      <c r="T80" s="41">
        <v>672.88</v>
      </c>
      <c r="U80" s="41">
        <v>2517.829999999999</v>
      </c>
      <c r="V80" s="41">
        <v>2593.9600000000009</v>
      </c>
      <c r="W80" s="41">
        <v>2783.67</v>
      </c>
      <c r="X80" s="36" t="s">
        <v>352</v>
      </c>
      <c r="Y80" s="36" t="s">
        <v>352</v>
      </c>
      <c r="Z80" s="36" t="s">
        <v>352</v>
      </c>
      <c r="AA80" s="36" t="s">
        <v>352</v>
      </c>
      <c r="AB80" s="36" t="s">
        <v>352</v>
      </c>
      <c r="AC80" s="36" t="s">
        <v>352</v>
      </c>
      <c r="AD80" s="36" t="s">
        <v>352</v>
      </c>
      <c r="AE80" s="36" t="s">
        <v>352</v>
      </c>
    </row>
    <row r="81" spans="1:31" ht="15" customHeight="1" x14ac:dyDescent="0.25">
      <c r="A81" s="18">
        <v>2658</v>
      </c>
      <c r="B81" s="19">
        <v>3418</v>
      </c>
      <c r="C81" s="19" t="s">
        <v>155</v>
      </c>
      <c r="D81" s="19" t="s">
        <v>115</v>
      </c>
      <c r="E81" s="19" t="s">
        <v>57</v>
      </c>
      <c r="F81" s="19" t="s">
        <v>58</v>
      </c>
      <c r="G81" s="20" t="str">
        <f>IF(LEN(ElecLkUp[[#This Row],[Ledger Code]])&gt;3,"AR"&amp;ElecLkUp[[#This Row],[Ledger Code]],"TBC")</f>
        <v>AR3418</v>
      </c>
      <c r="H81" s="114"/>
      <c r="I81" s="114"/>
      <c r="J81" s="114"/>
      <c r="K81" s="114"/>
      <c r="L81" s="114"/>
      <c r="M81" s="114"/>
      <c r="N81" s="114"/>
      <c r="O81" s="114"/>
      <c r="P81" s="41">
        <v>616.37</v>
      </c>
      <c r="Q81" s="41">
        <v>0</v>
      </c>
      <c r="R81" s="41">
        <v>0</v>
      </c>
      <c r="S81" s="41">
        <v>0</v>
      </c>
      <c r="T81" s="41">
        <v>839.52</v>
      </c>
      <c r="U81" s="41">
        <v>1101.46</v>
      </c>
      <c r="V81" s="41">
        <v>1285.27</v>
      </c>
      <c r="W81" s="41">
        <v>0</v>
      </c>
      <c r="X81" s="36" t="s">
        <v>352</v>
      </c>
      <c r="Y81" s="36" t="s">
        <v>352</v>
      </c>
      <c r="Z81" s="36" t="s">
        <v>352</v>
      </c>
      <c r="AA81" s="36" t="s">
        <v>352</v>
      </c>
      <c r="AB81" s="36" t="s">
        <v>352</v>
      </c>
      <c r="AC81" s="36" t="s">
        <v>352</v>
      </c>
      <c r="AD81" s="36" t="s">
        <v>352</v>
      </c>
      <c r="AE81" s="36" t="s">
        <v>352</v>
      </c>
    </row>
    <row r="82" spans="1:31" ht="15" customHeight="1" x14ac:dyDescent="0.25">
      <c r="A82" s="18">
        <v>2659</v>
      </c>
      <c r="B82" s="19">
        <v>3419</v>
      </c>
      <c r="C82" s="19" t="s">
        <v>156</v>
      </c>
      <c r="D82" s="19" t="s">
        <v>115</v>
      </c>
      <c r="E82" s="19" t="s">
        <v>57</v>
      </c>
      <c r="F82" s="19" t="s">
        <v>58</v>
      </c>
      <c r="G82" s="20" t="str">
        <f>IF(LEN(ElecLkUp[[#This Row],[Ledger Code]])&gt;3,"AR"&amp;ElecLkUp[[#This Row],[Ledger Code]],"TBC")</f>
        <v>AR3419</v>
      </c>
      <c r="H82" s="114"/>
      <c r="I82" s="114"/>
      <c r="J82" s="114"/>
      <c r="K82" s="114"/>
      <c r="L82" s="114"/>
      <c r="M82" s="114"/>
      <c r="N82" s="114"/>
      <c r="O82" s="114"/>
      <c r="P82" s="41">
        <v>0</v>
      </c>
      <c r="Q82" s="41">
        <v>1393.52</v>
      </c>
      <c r="R82" s="41">
        <v>1474.74</v>
      </c>
      <c r="S82" s="41">
        <v>0</v>
      </c>
      <c r="T82" s="41">
        <v>1465.51</v>
      </c>
      <c r="U82" s="41">
        <v>1318.03</v>
      </c>
      <c r="V82" s="41">
        <v>1444.75</v>
      </c>
      <c r="W82" s="41">
        <v>1562.38</v>
      </c>
      <c r="X82" s="36" t="s">
        <v>352</v>
      </c>
      <c r="Y82" s="36" t="s">
        <v>352</v>
      </c>
      <c r="Z82" s="36" t="s">
        <v>352</v>
      </c>
      <c r="AA82" s="36" t="s">
        <v>352</v>
      </c>
      <c r="AB82" s="36" t="s">
        <v>352</v>
      </c>
      <c r="AC82" s="36" t="s">
        <v>352</v>
      </c>
      <c r="AD82" s="36" t="s">
        <v>352</v>
      </c>
      <c r="AE82" s="36" t="s">
        <v>352</v>
      </c>
    </row>
    <row r="83" spans="1:31" ht="15" customHeight="1" x14ac:dyDescent="0.25">
      <c r="A83" s="18">
        <v>2660</v>
      </c>
      <c r="B83" s="19">
        <v>3420</v>
      </c>
      <c r="C83" s="19" t="s">
        <v>157</v>
      </c>
      <c r="D83" s="19" t="s">
        <v>115</v>
      </c>
      <c r="E83" s="19" t="s">
        <v>57</v>
      </c>
      <c r="F83" s="19" t="s">
        <v>58</v>
      </c>
      <c r="G83" s="20" t="str">
        <f>IF(LEN(ElecLkUp[[#This Row],[Ledger Code]])&gt;3,"AR"&amp;ElecLkUp[[#This Row],[Ledger Code]],"TBC")</f>
        <v>AR3420</v>
      </c>
      <c r="H83" s="114"/>
      <c r="I83" s="114"/>
      <c r="J83" s="114"/>
      <c r="K83" s="114"/>
      <c r="L83" s="114"/>
      <c r="M83" s="114"/>
      <c r="N83" s="114"/>
      <c r="O83" s="114"/>
      <c r="P83" s="41">
        <v>1503.6</v>
      </c>
      <c r="Q83" s="41">
        <v>2156.2399999999998</v>
      </c>
      <c r="R83" s="41">
        <v>1296.31</v>
      </c>
      <c r="S83" s="41">
        <v>3373.33</v>
      </c>
      <c r="T83" s="41">
        <v>1666.25</v>
      </c>
      <c r="U83" s="41">
        <v>2990.1499999999996</v>
      </c>
      <c r="V83" s="41">
        <v>2387.9900000000002</v>
      </c>
      <c r="W83" s="41">
        <v>1605.83</v>
      </c>
      <c r="X83" s="36" t="s">
        <v>352</v>
      </c>
      <c r="Y83" s="36" t="s">
        <v>352</v>
      </c>
      <c r="Z83" s="36" t="s">
        <v>352</v>
      </c>
      <c r="AA83" s="36" t="s">
        <v>352</v>
      </c>
      <c r="AB83" s="36" t="s">
        <v>352</v>
      </c>
      <c r="AC83" s="36" t="s">
        <v>352</v>
      </c>
      <c r="AD83" s="36" t="s">
        <v>352</v>
      </c>
      <c r="AE83" s="36" t="s">
        <v>352</v>
      </c>
    </row>
    <row r="84" spans="1:31" ht="15" customHeight="1" x14ac:dyDescent="0.25">
      <c r="A84" s="18">
        <v>2711</v>
      </c>
      <c r="B84" s="19">
        <v>3509</v>
      </c>
      <c r="C84" s="19" t="s">
        <v>158</v>
      </c>
      <c r="D84" s="19" t="s">
        <v>159</v>
      </c>
      <c r="E84" s="19" t="s">
        <v>57</v>
      </c>
      <c r="F84" s="19" t="s">
        <v>58</v>
      </c>
      <c r="G84" s="20" t="str">
        <f>IF(LEN(ElecLkUp[[#This Row],[Ledger Code]])&gt;3,"AR"&amp;ElecLkUp[[#This Row],[Ledger Code]],"TBC")</f>
        <v>AR3509</v>
      </c>
      <c r="H84" s="114"/>
      <c r="I84" s="114"/>
      <c r="J84" s="114"/>
      <c r="K84" s="114"/>
      <c r="L84" s="114"/>
      <c r="M84" s="114"/>
      <c r="N84" s="114"/>
      <c r="O84" s="114"/>
      <c r="P84" s="41">
        <v>55.8</v>
      </c>
      <c r="Q84" s="41">
        <v>0</v>
      </c>
      <c r="R84" s="41">
        <v>930.400000000001</v>
      </c>
      <c r="S84" s="41">
        <v>3229.46</v>
      </c>
      <c r="T84" s="41">
        <v>3612.5100000000007</v>
      </c>
      <c r="U84" s="41">
        <v>2691.5600000000013</v>
      </c>
      <c r="V84" s="41">
        <v>9146.36</v>
      </c>
      <c r="W84" s="41">
        <v>969.62999999999886</v>
      </c>
      <c r="X84" s="36" t="s">
        <v>352</v>
      </c>
      <c r="Y84" s="36" t="s">
        <v>352</v>
      </c>
      <c r="Z84" s="36" t="s">
        <v>352</v>
      </c>
      <c r="AA84" s="36" t="s">
        <v>352</v>
      </c>
      <c r="AB84" s="36" t="s">
        <v>352</v>
      </c>
      <c r="AC84" s="36" t="s">
        <v>352</v>
      </c>
      <c r="AD84" s="36" t="s">
        <v>352</v>
      </c>
      <c r="AE84" s="36" t="s">
        <v>352</v>
      </c>
    </row>
    <row r="85" spans="1:31" ht="15" customHeight="1" x14ac:dyDescent="0.25">
      <c r="A85" s="18">
        <v>2713</v>
      </c>
      <c r="B85" s="19">
        <v>3511</v>
      </c>
      <c r="C85" s="19" t="s">
        <v>160</v>
      </c>
      <c r="D85" s="19" t="s">
        <v>159</v>
      </c>
      <c r="E85" s="19" t="s">
        <v>57</v>
      </c>
      <c r="F85" s="19" t="s">
        <v>58</v>
      </c>
      <c r="G85" s="20" t="str">
        <f>IF(LEN(ElecLkUp[[#This Row],[Ledger Code]])&gt;3,"AR"&amp;ElecLkUp[[#This Row],[Ledger Code]],"TBC")</f>
        <v>AR3511</v>
      </c>
      <c r="H85" s="114"/>
      <c r="I85" s="114"/>
      <c r="J85" s="114"/>
      <c r="K85" s="114"/>
      <c r="L85" s="114"/>
      <c r="M85" s="114"/>
      <c r="N85" s="114"/>
      <c r="O85" s="114"/>
      <c r="P85" s="41">
        <v>3697.85</v>
      </c>
      <c r="Q85" s="41">
        <v>8886.44</v>
      </c>
      <c r="R85" s="41">
        <v>10760.379999999996</v>
      </c>
      <c r="S85" s="41">
        <v>-3235.7999999999993</v>
      </c>
      <c r="T85" s="41">
        <v>18583.039999999997</v>
      </c>
      <c r="U85" s="41">
        <v>12052.809999999998</v>
      </c>
      <c r="V85" s="41">
        <v>4299.3200000000006</v>
      </c>
      <c r="W85" s="41">
        <v>11749.960000000003</v>
      </c>
      <c r="X85" s="36" t="s">
        <v>352</v>
      </c>
      <c r="Y85" s="36" t="s">
        <v>352</v>
      </c>
      <c r="Z85" s="36" t="s">
        <v>352</v>
      </c>
      <c r="AA85" s="36" t="s">
        <v>352</v>
      </c>
      <c r="AB85" s="36" t="s">
        <v>352</v>
      </c>
      <c r="AC85" s="36" t="s">
        <v>352</v>
      </c>
      <c r="AD85" s="36" t="s">
        <v>352</v>
      </c>
      <c r="AE85" s="36" t="s">
        <v>352</v>
      </c>
    </row>
    <row r="86" spans="1:31" ht="15" customHeight="1" x14ac:dyDescent="0.25">
      <c r="A86" s="18">
        <v>2727</v>
      </c>
      <c r="B86" s="19">
        <v>3545</v>
      </c>
      <c r="C86" s="19" t="s">
        <v>161</v>
      </c>
      <c r="D86" s="19" t="s">
        <v>162</v>
      </c>
      <c r="E86" s="19" t="s">
        <v>57</v>
      </c>
      <c r="F86" s="19" t="s">
        <v>58</v>
      </c>
      <c r="G86" s="20" t="str">
        <f>IF(LEN(ElecLkUp[[#This Row],[Ledger Code]])&gt;3,"AR"&amp;ElecLkUp[[#This Row],[Ledger Code]],"TBC")</f>
        <v>AR3545</v>
      </c>
      <c r="H86" s="114"/>
      <c r="I86" s="114"/>
      <c r="J86" s="114"/>
      <c r="K86" s="114"/>
      <c r="L86" s="114"/>
      <c r="M86" s="114"/>
      <c r="N86" s="114"/>
      <c r="O86" s="114"/>
      <c r="P86" s="41">
        <v>0</v>
      </c>
      <c r="Q86" s="41">
        <v>2319.1600000000003</v>
      </c>
      <c r="R86" s="41">
        <v>2371.7400000000002</v>
      </c>
      <c r="S86" s="41">
        <v>1756.1499999999992</v>
      </c>
      <c r="T86" s="41">
        <v>661.22000000000025</v>
      </c>
      <c r="U86" s="41">
        <v>3867.63</v>
      </c>
      <c r="V86" s="41">
        <v>2593.81</v>
      </c>
      <c r="W86" s="41">
        <v>80.83</v>
      </c>
      <c r="X86" s="36" t="s">
        <v>352</v>
      </c>
      <c r="Y86" s="36" t="s">
        <v>352</v>
      </c>
      <c r="Z86" s="36" t="s">
        <v>352</v>
      </c>
      <c r="AA86" s="36" t="s">
        <v>352</v>
      </c>
      <c r="AB86" s="36" t="s">
        <v>352</v>
      </c>
      <c r="AC86" s="36" t="s">
        <v>352</v>
      </c>
      <c r="AD86" s="36" t="s">
        <v>352</v>
      </c>
      <c r="AE86" s="36" t="s">
        <v>352</v>
      </c>
    </row>
    <row r="87" spans="1:31" ht="15" customHeight="1" x14ac:dyDescent="0.25">
      <c r="A87" s="18">
        <v>2733</v>
      </c>
      <c r="B87" s="19">
        <v>3550</v>
      </c>
      <c r="C87" s="19" t="s">
        <v>163</v>
      </c>
      <c r="D87" s="19" t="s">
        <v>164</v>
      </c>
      <c r="E87" s="19" t="s">
        <v>57</v>
      </c>
      <c r="F87" s="19" t="s">
        <v>58</v>
      </c>
      <c r="G87" s="20" t="str">
        <f>IF(LEN(ElecLkUp[[#This Row],[Ledger Code]])&gt;3,"AR"&amp;ElecLkUp[[#This Row],[Ledger Code]],"TBC")</f>
        <v>AR3550</v>
      </c>
      <c r="H87" s="114"/>
      <c r="I87" s="114"/>
      <c r="J87" s="114"/>
      <c r="K87" s="114"/>
      <c r="L87" s="114"/>
      <c r="M87" s="114"/>
      <c r="N87" s="114"/>
      <c r="O87" s="114"/>
      <c r="P87" s="41">
        <v>2535.9899999999998</v>
      </c>
      <c r="Q87" s="41">
        <v>9333.5799999999981</v>
      </c>
      <c r="R87" s="41">
        <v>12962.92</v>
      </c>
      <c r="S87" s="41">
        <v>4440.5500000000011</v>
      </c>
      <c r="T87" s="41">
        <v>9262.5199999999986</v>
      </c>
      <c r="U87" s="41">
        <v>11081.099999999997</v>
      </c>
      <c r="V87" s="41">
        <v>4979.53</v>
      </c>
      <c r="W87" s="41">
        <v>0</v>
      </c>
      <c r="X87" s="36" t="s">
        <v>352</v>
      </c>
      <c r="Y87" s="36" t="s">
        <v>352</v>
      </c>
      <c r="Z87" s="36" t="s">
        <v>352</v>
      </c>
      <c r="AA87" s="36" t="s">
        <v>352</v>
      </c>
      <c r="AB87" s="36" t="s">
        <v>352</v>
      </c>
      <c r="AC87" s="36" t="s">
        <v>352</v>
      </c>
      <c r="AD87" s="36" t="s">
        <v>352</v>
      </c>
      <c r="AE87" s="36" t="s">
        <v>352</v>
      </c>
    </row>
    <row r="88" spans="1:31" ht="15" customHeight="1" x14ac:dyDescent="0.25">
      <c r="A88" s="18">
        <v>2933</v>
      </c>
      <c r="B88" s="19">
        <v>6182</v>
      </c>
      <c r="C88" s="19" t="s">
        <v>165</v>
      </c>
      <c r="D88" s="19" t="s">
        <v>166</v>
      </c>
      <c r="E88" s="19" t="s">
        <v>9</v>
      </c>
      <c r="F88" s="19" t="s">
        <v>83</v>
      </c>
      <c r="G88" s="20" t="str">
        <f>IF(LEN(ElecLkUp[[#This Row],[Ledger Code]])&gt;3,"AR"&amp;ElecLkUp[[#This Row],[Ledger Code]],"TBC")</f>
        <v>AR6182</v>
      </c>
      <c r="H88" s="114">
        <v>173119.3</v>
      </c>
      <c r="I88" s="114">
        <v>179383.5</v>
      </c>
      <c r="J88" s="114">
        <v>164919.79999999999</v>
      </c>
      <c r="K88" s="114">
        <v>161539.5</v>
      </c>
      <c r="L88" s="114">
        <v>157254.20000000001</v>
      </c>
      <c r="M88" s="114">
        <v>158701.70000000001</v>
      </c>
      <c r="N88" s="114">
        <v>52220.1</v>
      </c>
      <c r="O88" s="114">
        <v>0</v>
      </c>
      <c r="P88" s="41">
        <v>1123.8399999999999</v>
      </c>
      <c r="Q88" s="41">
        <v>34981.07</v>
      </c>
      <c r="R88" s="41">
        <v>23098.14</v>
      </c>
      <c r="S88" s="41">
        <v>22233.79</v>
      </c>
      <c r="T88" s="41">
        <v>15464.329999999998</v>
      </c>
      <c r="U88" s="41">
        <v>65181.859999999993</v>
      </c>
      <c r="V88" s="41">
        <v>-28686.51</v>
      </c>
      <c r="W88" s="41">
        <v>5745.4099999999989</v>
      </c>
      <c r="X88" s="36">
        <v>173119.3</v>
      </c>
      <c r="Y88" s="36">
        <v>179383.5</v>
      </c>
      <c r="Z88" s="36">
        <v>164919.79999999999</v>
      </c>
      <c r="AA88" s="36">
        <v>161539.5</v>
      </c>
      <c r="AB88" s="36">
        <v>157254.20000000001</v>
      </c>
      <c r="AC88" s="36">
        <v>158701.70000000001</v>
      </c>
      <c r="AD88" s="36">
        <v>52220.1</v>
      </c>
      <c r="AE88" s="36">
        <v>0</v>
      </c>
    </row>
    <row r="89" spans="1:31" ht="15" customHeight="1" x14ac:dyDescent="0.25">
      <c r="A89" s="18">
        <v>2993</v>
      </c>
      <c r="B89" s="19">
        <v>6379</v>
      </c>
      <c r="C89" s="19" t="s">
        <v>167</v>
      </c>
      <c r="D89" s="19" t="s">
        <v>168</v>
      </c>
      <c r="E89" s="19" t="s">
        <v>9</v>
      </c>
      <c r="F89" s="19" t="s">
        <v>83</v>
      </c>
      <c r="G89" s="20" t="str">
        <f>IF(LEN(ElecLkUp[[#This Row],[Ledger Code]])&gt;3,"AR"&amp;ElecLkUp[[#This Row],[Ledger Code]],"TBC")</f>
        <v>AR6379</v>
      </c>
      <c r="H89" s="114"/>
      <c r="I89" s="114"/>
      <c r="J89" s="114"/>
      <c r="K89" s="114"/>
      <c r="L89" s="114"/>
      <c r="M89" s="114"/>
      <c r="N89" s="114"/>
      <c r="O89" s="114"/>
      <c r="P89" s="41">
        <v>0</v>
      </c>
      <c r="Q89" s="41">
        <v>12128.78</v>
      </c>
      <c r="R89" s="41">
        <v>18343.71</v>
      </c>
      <c r="S89" s="41">
        <v>15526.939999999999</v>
      </c>
      <c r="T89" s="41">
        <v>12624.32</v>
      </c>
      <c r="U89" s="41">
        <v>12465.68</v>
      </c>
      <c r="V89" s="41">
        <v>12708.289999999999</v>
      </c>
      <c r="W89" s="41">
        <v>5301.6100000000006</v>
      </c>
      <c r="X89" s="36" t="s">
        <v>352</v>
      </c>
      <c r="Y89" s="36" t="s">
        <v>352</v>
      </c>
      <c r="Z89" s="36" t="s">
        <v>352</v>
      </c>
      <c r="AA89" s="36" t="s">
        <v>352</v>
      </c>
      <c r="AB89" s="36" t="s">
        <v>352</v>
      </c>
      <c r="AC89" s="36" t="s">
        <v>352</v>
      </c>
      <c r="AD89" s="36" t="s">
        <v>352</v>
      </c>
      <c r="AE89" s="36" t="s">
        <v>352</v>
      </c>
    </row>
    <row r="90" spans="1:31" ht="15" customHeight="1" x14ac:dyDescent="0.25">
      <c r="A90" s="18">
        <v>2994</v>
      </c>
      <c r="B90" s="19">
        <v>6380</v>
      </c>
      <c r="C90" s="19" t="s">
        <v>169</v>
      </c>
      <c r="D90" s="19" t="s">
        <v>170</v>
      </c>
      <c r="E90" s="19" t="s">
        <v>9</v>
      </c>
      <c r="F90" s="19" t="s">
        <v>83</v>
      </c>
      <c r="G90" s="20" t="str">
        <f>IF(LEN(ElecLkUp[[#This Row],[Ledger Code]])&gt;3,"AR"&amp;ElecLkUp[[#This Row],[Ledger Code]],"TBC")</f>
        <v>AR6380</v>
      </c>
      <c r="H90" s="114"/>
      <c r="I90" s="114"/>
      <c r="J90" s="114"/>
      <c r="K90" s="114"/>
      <c r="L90" s="114"/>
      <c r="M90" s="114"/>
      <c r="N90" s="114"/>
      <c r="O90" s="114"/>
      <c r="P90" s="41">
        <v>0</v>
      </c>
      <c r="Q90" s="41">
        <v>0</v>
      </c>
      <c r="R90" s="41">
        <v>0</v>
      </c>
      <c r="S90" s="41">
        <v>3569.3</v>
      </c>
      <c r="T90" s="41">
        <v>4671.22</v>
      </c>
      <c r="U90" s="41">
        <v>934.23999999999978</v>
      </c>
      <c r="V90" s="41">
        <v>934.24</v>
      </c>
      <c r="W90" s="41">
        <v>0</v>
      </c>
      <c r="X90" s="36" t="s">
        <v>352</v>
      </c>
      <c r="Y90" s="36" t="s">
        <v>352</v>
      </c>
      <c r="Z90" s="36" t="s">
        <v>352</v>
      </c>
      <c r="AA90" s="36" t="s">
        <v>352</v>
      </c>
      <c r="AB90" s="36" t="s">
        <v>352</v>
      </c>
      <c r="AC90" s="36" t="s">
        <v>352</v>
      </c>
      <c r="AD90" s="36" t="s">
        <v>352</v>
      </c>
      <c r="AE90" s="36" t="s">
        <v>352</v>
      </c>
    </row>
    <row r="91" spans="1:31" ht="15" customHeight="1" x14ac:dyDescent="0.25">
      <c r="A91" s="18">
        <v>3017</v>
      </c>
      <c r="B91" s="19">
        <v>6230</v>
      </c>
      <c r="C91" s="19" t="s">
        <v>171</v>
      </c>
      <c r="D91" s="19" t="s">
        <v>172</v>
      </c>
      <c r="E91" s="19" t="s">
        <v>9</v>
      </c>
      <c r="F91" s="19" t="s">
        <v>83</v>
      </c>
      <c r="G91" s="20" t="str">
        <f>IF(LEN(ElecLkUp[[#This Row],[Ledger Code]])&gt;3,"AR"&amp;ElecLkUp[[#This Row],[Ledger Code]],"TBC")</f>
        <v>AR6230</v>
      </c>
      <c r="H91" s="114"/>
      <c r="I91" s="114"/>
      <c r="J91" s="114"/>
      <c r="K91" s="114"/>
      <c r="L91" s="114"/>
      <c r="M91" s="114"/>
      <c r="N91" s="114"/>
      <c r="O91" s="114"/>
      <c r="P91" s="41">
        <v>14541.72</v>
      </c>
      <c r="Q91" s="41">
        <v>6020.25</v>
      </c>
      <c r="R91" s="41">
        <v>28053.299999999996</v>
      </c>
      <c r="S91" s="41">
        <v>-5857.1100000000006</v>
      </c>
      <c r="T91" s="41">
        <v>55171.859999999993</v>
      </c>
      <c r="U91" s="41">
        <v>16719.560000000001</v>
      </c>
      <c r="V91" s="41">
        <v>24299.08</v>
      </c>
      <c r="W91" s="41">
        <v>7343.880000000001</v>
      </c>
      <c r="X91" s="36" t="s">
        <v>352</v>
      </c>
      <c r="Y91" s="36" t="s">
        <v>352</v>
      </c>
      <c r="Z91" s="36" t="s">
        <v>352</v>
      </c>
      <c r="AA91" s="36" t="s">
        <v>352</v>
      </c>
      <c r="AB91" s="36" t="s">
        <v>352</v>
      </c>
      <c r="AC91" s="36" t="s">
        <v>352</v>
      </c>
      <c r="AD91" s="36" t="s">
        <v>352</v>
      </c>
      <c r="AE91" s="36" t="s">
        <v>352</v>
      </c>
    </row>
    <row r="92" spans="1:31" ht="15" customHeight="1" x14ac:dyDescent="0.25">
      <c r="A92" s="18">
        <v>3085</v>
      </c>
      <c r="B92" s="19">
        <v>8445</v>
      </c>
      <c r="C92" s="19" t="s">
        <v>173</v>
      </c>
      <c r="D92" s="19" t="s">
        <v>174</v>
      </c>
      <c r="E92" s="19" t="s">
        <v>26</v>
      </c>
      <c r="F92" s="19" t="s">
        <v>175</v>
      </c>
      <c r="G92" s="20" t="str">
        <f>IF(LEN(ElecLkUp[[#This Row],[Ledger Code]])&gt;3,"AR"&amp;ElecLkUp[[#This Row],[Ledger Code]],"TBC")</f>
        <v>AR8445</v>
      </c>
      <c r="H92" s="114">
        <v>0</v>
      </c>
      <c r="I92" s="114">
        <v>56830</v>
      </c>
      <c r="J92" s="114">
        <v>34700</v>
      </c>
      <c r="K92" s="114">
        <v>52940</v>
      </c>
      <c r="L92" s="114">
        <v>36848</v>
      </c>
      <c r="M92" s="114">
        <v>33448</v>
      </c>
      <c r="N92" s="114">
        <v>9192</v>
      </c>
      <c r="O92" s="114">
        <v>55679</v>
      </c>
      <c r="P92" s="41">
        <v>2175.8000000000002</v>
      </c>
      <c r="Q92" s="41">
        <v>4468.6200000000008</v>
      </c>
      <c r="R92" s="41">
        <v>3913.5499999999993</v>
      </c>
      <c r="S92" s="41">
        <v>6022.3799999999992</v>
      </c>
      <c r="T92" s="41">
        <v>4382.43</v>
      </c>
      <c r="U92" s="41">
        <v>4114.2599999999993</v>
      </c>
      <c r="V92" s="41">
        <v>3625.0000000000005</v>
      </c>
      <c r="W92" s="41">
        <v>4153.3500000000013</v>
      </c>
      <c r="X92" s="36">
        <v>0</v>
      </c>
      <c r="Y92" s="36">
        <v>56830</v>
      </c>
      <c r="Z92" s="36">
        <v>34700</v>
      </c>
      <c r="AA92" s="36">
        <v>52940</v>
      </c>
      <c r="AB92" s="36">
        <v>36848</v>
      </c>
      <c r="AC92" s="36">
        <v>33448</v>
      </c>
      <c r="AD92" s="36">
        <v>211161</v>
      </c>
      <c r="AE92" s="36">
        <v>229406</v>
      </c>
    </row>
    <row r="93" spans="1:31" ht="15" customHeight="1" x14ac:dyDescent="0.25">
      <c r="A93" s="18">
        <v>3098</v>
      </c>
      <c r="B93" s="19">
        <v>8463</v>
      </c>
      <c r="C93" s="19" t="s">
        <v>176</v>
      </c>
      <c r="D93" s="19" t="s">
        <v>177</v>
      </c>
      <c r="E93" s="19" t="s">
        <v>26</v>
      </c>
      <c r="F93" s="19" t="s">
        <v>175</v>
      </c>
      <c r="G93" s="20" t="str">
        <f>IF(LEN(ElecLkUp[[#This Row],[Ledger Code]])&gt;3,"AR"&amp;ElecLkUp[[#This Row],[Ledger Code]],"TBC")</f>
        <v>AR8463</v>
      </c>
      <c r="H93" s="114">
        <v>988</v>
      </c>
      <c r="I93" s="114">
        <v>1755</v>
      </c>
      <c r="J93" s="114">
        <v>1846</v>
      </c>
      <c r="K93" s="114">
        <v>1965</v>
      </c>
      <c r="L93" s="114">
        <v>1735</v>
      </c>
      <c r="M93" s="114">
        <v>2036</v>
      </c>
      <c r="N93" s="114">
        <v>1247</v>
      </c>
      <c r="O93" s="114">
        <v>2048</v>
      </c>
      <c r="P93" s="41">
        <v>62.099999999999994</v>
      </c>
      <c r="Q93" s="41">
        <v>274.86</v>
      </c>
      <c r="R93" s="41">
        <v>640.93000000000006</v>
      </c>
      <c r="S93" s="41">
        <v>232.62</v>
      </c>
      <c r="T93" s="41">
        <v>214.69</v>
      </c>
      <c r="U93" s="41">
        <v>247.98000000000002</v>
      </c>
      <c r="V93" s="41">
        <v>222.14999999999992</v>
      </c>
      <c r="W93" s="41">
        <v>115.14000000000004</v>
      </c>
      <c r="X93" s="36">
        <v>988</v>
      </c>
      <c r="Y93" s="36">
        <v>1755</v>
      </c>
      <c r="Z93" s="36">
        <v>1846</v>
      </c>
      <c r="AA93" s="36">
        <v>1965</v>
      </c>
      <c r="AB93" s="36">
        <v>1735</v>
      </c>
      <c r="AC93" s="36">
        <v>2036</v>
      </c>
      <c r="AD93" s="36">
        <v>203216</v>
      </c>
      <c r="AE93" s="36">
        <v>175775</v>
      </c>
    </row>
    <row r="94" spans="1:31" ht="15" customHeight="1" x14ac:dyDescent="0.25">
      <c r="A94" s="18">
        <v>3152</v>
      </c>
      <c r="B94" s="19">
        <v>8492</v>
      </c>
      <c r="C94" s="19" t="s">
        <v>178</v>
      </c>
      <c r="D94" s="19" t="s">
        <v>179</v>
      </c>
      <c r="E94" s="19" t="s">
        <v>26</v>
      </c>
      <c r="F94" s="19" t="s">
        <v>175</v>
      </c>
      <c r="G94" s="20" t="str">
        <f>IF(LEN(ElecLkUp[[#This Row],[Ledger Code]])&gt;3,"AR"&amp;ElecLkUp[[#This Row],[Ledger Code]],"TBC")</f>
        <v>AR8492</v>
      </c>
      <c r="H94" s="114"/>
      <c r="I94" s="114"/>
      <c r="J94" s="114"/>
      <c r="K94" s="114"/>
      <c r="L94" s="114"/>
      <c r="M94" s="114"/>
      <c r="N94" s="114"/>
      <c r="O94" s="114"/>
      <c r="P94" s="41">
        <v>0</v>
      </c>
      <c r="Q94" s="41">
        <v>0</v>
      </c>
      <c r="R94" s="41">
        <v>-1.8189894035458565E-12</v>
      </c>
      <c r="S94" s="41">
        <v>0</v>
      </c>
      <c r="T94" s="41">
        <v>0</v>
      </c>
      <c r="U94" s="41">
        <v>0</v>
      </c>
      <c r="V94" s="41">
        <v>0</v>
      </c>
      <c r="W94" s="41">
        <v>0</v>
      </c>
      <c r="X94" s="36" t="s">
        <v>352</v>
      </c>
      <c r="Y94" s="36" t="s">
        <v>352</v>
      </c>
      <c r="Z94" s="36" t="s">
        <v>352</v>
      </c>
      <c r="AA94" s="36" t="s">
        <v>352</v>
      </c>
      <c r="AB94" s="36" t="s">
        <v>352</v>
      </c>
      <c r="AC94" s="36" t="s">
        <v>352</v>
      </c>
      <c r="AD94" s="36" t="s">
        <v>352</v>
      </c>
      <c r="AE94" s="36" t="s">
        <v>352</v>
      </c>
    </row>
    <row r="95" spans="1:31" ht="15" customHeight="1" x14ac:dyDescent="0.25">
      <c r="A95" s="18">
        <v>3169</v>
      </c>
      <c r="B95" s="19">
        <v>8514</v>
      </c>
      <c r="C95" s="19" t="s">
        <v>341</v>
      </c>
      <c r="D95" s="19">
        <v>0</v>
      </c>
      <c r="E95" s="19" t="s">
        <v>26</v>
      </c>
      <c r="F95" s="19" t="s">
        <v>175</v>
      </c>
      <c r="G95" s="20" t="str">
        <f>IF(LEN(ElecLkUp[[#This Row],[Ledger Code]])&gt;3,"AR"&amp;ElecLkUp[[#This Row],[Ledger Code]],"TBC")</f>
        <v>AR8514</v>
      </c>
      <c r="H95" s="114"/>
      <c r="I95" s="114"/>
      <c r="J95" s="114"/>
      <c r="K95" s="114"/>
      <c r="L95" s="114"/>
      <c r="M95" s="114"/>
      <c r="N95" s="114"/>
      <c r="O95" s="114"/>
      <c r="P95" s="41">
        <v>0</v>
      </c>
      <c r="Q95" s="41">
        <v>0</v>
      </c>
      <c r="R95" s="41">
        <v>10096.030000000001</v>
      </c>
      <c r="S95" s="41">
        <v>5211.4699999999993</v>
      </c>
      <c r="T95" s="41">
        <v>0</v>
      </c>
      <c r="U95" s="41">
        <v>3.637978807091713E-12</v>
      </c>
      <c r="V95" s="41">
        <v>0</v>
      </c>
      <c r="W95" s="41">
        <v>0</v>
      </c>
      <c r="X95" s="36" t="s">
        <v>352</v>
      </c>
      <c r="Y95" s="36" t="s">
        <v>352</v>
      </c>
      <c r="Z95" s="36" t="s">
        <v>352</v>
      </c>
      <c r="AA95" s="36" t="s">
        <v>352</v>
      </c>
      <c r="AB95" s="36" t="s">
        <v>352</v>
      </c>
      <c r="AC95" s="36" t="s">
        <v>352</v>
      </c>
      <c r="AD95" s="36" t="s">
        <v>352</v>
      </c>
      <c r="AE95" s="36" t="s">
        <v>352</v>
      </c>
    </row>
    <row r="96" spans="1:31" ht="15" customHeight="1" x14ac:dyDescent="0.25">
      <c r="A96" s="18">
        <v>3172</v>
      </c>
      <c r="B96" s="19">
        <v>8517</v>
      </c>
      <c r="C96" s="19" t="s">
        <v>180</v>
      </c>
      <c r="D96" s="19" t="s">
        <v>181</v>
      </c>
      <c r="E96" s="19" t="s">
        <v>26</v>
      </c>
      <c r="F96" s="19" t="s">
        <v>175</v>
      </c>
      <c r="G96" s="20" t="str">
        <f>IF(LEN(ElecLkUp[[#This Row],[Ledger Code]])&gt;3,"AR"&amp;ElecLkUp[[#This Row],[Ledger Code]],"TBC")</f>
        <v>AR8517</v>
      </c>
      <c r="H96" s="114"/>
      <c r="I96" s="114"/>
      <c r="J96" s="114"/>
      <c r="K96" s="114"/>
      <c r="L96" s="114"/>
      <c r="M96" s="114"/>
      <c r="N96" s="114"/>
      <c r="O96" s="114"/>
      <c r="P96" s="41">
        <v>0</v>
      </c>
      <c r="Q96" s="41">
        <v>0</v>
      </c>
      <c r="R96" s="41">
        <v>0</v>
      </c>
      <c r="S96" s="41">
        <v>0</v>
      </c>
      <c r="T96" s="41">
        <v>0</v>
      </c>
      <c r="U96" s="41">
        <v>0</v>
      </c>
      <c r="V96" s="41">
        <v>0</v>
      </c>
      <c r="W96" s="41">
        <v>0</v>
      </c>
      <c r="X96" s="36" t="s">
        <v>352</v>
      </c>
      <c r="Y96" s="36" t="s">
        <v>352</v>
      </c>
      <c r="Z96" s="36" t="s">
        <v>352</v>
      </c>
      <c r="AA96" s="36" t="s">
        <v>352</v>
      </c>
      <c r="AB96" s="36" t="s">
        <v>352</v>
      </c>
      <c r="AC96" s="36" t="s">
        <v>352</v>
      </c>
      <c r="AD96" s="36" t="s">
        <v>352</v>
      </c>
      <c r="AE96" s="36" t="s">
        <v>352</v>
      </c>
    </row>
    <row r="97" spans="1:31" ht="15" customHeight="1" x14ac:dyDescent="0.25">
      <c r="A97" s="18">
        <v>3175</v>
      </c>
      <c r="B97" s="19">
        <v>8520</v>
      </c>
      <c r="C97" s="19" t="s">
        <v>182</v>
      </c>
      <c r="D97" s="19" t="s">
        <v>183</v>
      </c>
      <c r="E97" s="19" t="s">
        <v>26</v>
      </c>
      <c r="F97" s="19" t="s">
        <v>175</v>
      </c>
      <c r="G97" s="20" t="str">
        <f>IF(LEN(ElecLkUp[[#This Row],[Ledger Code]])&gt;3,"AR"&amp;ElecLkUp[[#This Row],[Ledger Code]],"TBC")</f>
        <v>AR8520</v>
      </c>
      <c r="H97" s="114">
        <v>0</v>
      </c>
      <c r="I97" s="114">
        <v>0</v>
      </c>
      <c r="J97" s="114">
        <v>0</v>
      </c>
      <c r="K97" s="114">
        <v>63569</v>
      </c>
      <c r="L97" s="114">
        <v>9447</v>
      </c>
      <c r="M97" s="114">
        <v>13166</v>
      </c>
      <c r="N97" s="114">
        <v>5488</v>
      </c>
      <c r="O97" s="114">
        <v>18098</v>
      </c>
      <c r="P97" s="41">
        <v>0</v>
      </c>
      <c r="Q97" s="41">
        <v>0</v>
      </c>
      <c r="R97" s="41">
        <v>0</v>
      </c>
      <c r="S97" s="41">
        <v>23250.249999999996</v>
      </c>
      <c r="T97" s="41">
        <v>5702.3199999999988</v>
      </c>
      <c r="U97" s="41">
        <v>6276.989999999998</v>
      </c>
      <c r="V97" s="41">
        <v>6466.9799999999977</v>
      </c>
      <c r="W97" s="41">
        <v>5144.5500000000011</v>
      </c>
      <c r="X97" s="36">
        <v>0</v>
      </c>
      <c r="Y97" s="36">
        <v>0</v>
      </c>
      <c r="Z97" s="36">
        <v>0</v>
      </c>
      <c r="AA97" s="36">
        <v>63569</v>
      </c>
      <c r="AB97" s="36">
        <v>9447</v>
      </c>
      <c r="AC97" s="36">
        <v>13166</v>
      </c>
      <c r="AD97" s="36">
        <v>207457</v>
      </c>
      <c r="AE97" s="36">
        <v>191825</v>
      </c>
    </row>
    <row r="98" spans="1:31" ht="15" customHeight="1" x14ac:dyDescent="0.25">
      <c r="A98" s="18">
        <v>3208</v>
      </c>
      <c r="B98" s="19">
        <v>9481</v>
      </c>
      <c r="C98" s="19" t="s">
        <v>184</v>
      </c>
      <c r="D98" s="19" t="s">
        <v>185</v>
      </c>
      <c r="E98" s="19" t="s">
        <v>57</v>
      </c>
      <c r="F98" s="19" t="s">
        <v>186</v>
      </c>
      <c r="G98" s="20" t="str">
        <f>IF(LEN(ElecLkUp[[#This Row],[Ledger Code]])&gt;3,"AR"&amp;ElecLkUp[[#This Row],[Ledger Code]],"TBC")</f>
        <v>AR9481</v>
      </c>
      <c r="H98" s="114">
        <v>157815</v>
      </c>
      <c r="I98" s="114">
        <v>149662</v>
      </c>
      <c r="J98" s="114">
        <v>184385</v>
      </c>
      <c r="K98" s="114">
        <v>188608</v>
      </c>
      <c r="L98" s="114">
        <v>158660</v>
      </c>
      <c r="M98" s="114">
        <v>145693</v>
      </c>
      <c r="N98" s="114">
        <v>169619</v>
      </c>
      <c r="O98" s="114">
        <v>123379</v>
      </c>
      <c r="P98" s="41">
        <v>20603</v>
      </c>
      <c r="Q98" s="41">
        <v>19749</v>
      </c>
      <c r="R98" s="41">
        <v>24611</v>
      </c>
      <c r="S98" s="41">
        <v>25809</v>
      </c>
      <c r="T98" s="41">
        <v>22309</v>
      </c>
      <c r="U98" s="41">
        <v>20962</v>
      </c>
      <c r="V98" s="41">
        <v>24792</v>
      </c>
      <c r="W98" s="41">
        <v>17765</v>
      </c>
      <c r="X98" s="36" t="s">
        <v>352</v>
      </c>
      <c r="Y98" s="36" t="s">
        <v>352</v>
      </c>
      <c r="Z98" s="36" t="s">
        <v>352</v>
      </c>
      <c r="AA98" s="36" t="s">
        <v>352</v>
      </c>
      <c r="AB98" s="36" t="s">
        <v>352</v>
      </c>
      <c r="AC98" s="36" t="s">
        <v>352</v>
      </c>
      <c r="AD98" s="36" t="s">
        <v>352</v>
      </c>
      <c r="AE98" s="36" t="s">
        <v>352</v>
      </c>
    </row>
    <row r="99" spans="1:31" ht="15" customHeight="1" x14ac:dyDescent="0.25">
      <c r="A99" s="18">
        <v>3318</v>
      </c>
      <c r="B99" s="19">
        <v>3615</v>
      </c>
      <c r="C99" s="19" t="s">
        <v>187</v>
      </c>
      <c r="D99" s="19" t="s">
        <v>188</v>
      </c>
      <c r="E99" s="19" t="s">
        <v>57</v>
      </c>
      <c r="F99" s="19" t="s">
        <v>186</v>
      </c>
      <c r="G99" s="20" t="str">
        <f>IF(LEN(ElecLkUp[[#This Row],[Ledger Code]])&gt;3,"AR"&amp;ElecLkUp[[#This Row],[Ledger Code]],"TBC")</f>
        <v>AR3615</v>
      </c>
      <c r="H99" s="114"/>
      <c r="I99" s="114"/>
      <c r="J99" s="114"/>
      <c r="K99" s="114"/>
      <c r="L99" s="114"/>
      <c r="M99" s="114"/>
      <c r="N99" s="114"/>
      <c r="O99" s="114"/>
      <c r="P99" s="41">
        <v>0</v>
      </c>
      <c r="Q99" s="41">
        <v>0</v>
      </c>
      <c r="R99" s="41">
        <v>0</v>
      </c>
      <c r="S99" s="41">
        <v>0</v>
      </c>
      <c r="T99" s="41">
        <v>0</v>
      </c>
      <c r="U99" s="41">
        <v>408.83</v>
      </c>
      <c r="V99" s="41">
        <v>5.6843418860808015E-14</v>
      </c>
      <c r="W99" s="41">
        <v>204.96000000000004</v>
      </c>
      <c r="X99" s="36" t="s">
        <v>352</v>
      </c>
      <c r="Y99" s="36" t="s">
        <v>352</v>
      </c>
      <c r="Z99" s="36" t="s">
        <v>352</v>
      </c>
      <c r="AA99" s="36" t="s">
        <v>352</v>
      </c>
      <c r="AB99" s="36" t="s">
        <v>352</v>
      </c>
      <c r="AC99" s="36" t="s">
        <v>352</v>
      </c>
      <c r="AD99" s="36" t="s">
        <v>352</v>
      </c>
      <c r="AE99" s="36" t="s">
        <v>352</v>
      </c>
    </row>
    <row r="100" spans="1:31" ht="15" customHeight="1" x14ac:dyDescent="0.25">
      <c r="A100" s="18">
        <v>3326</v>
      </c>
      <c r="B100" s="19">
        <v>3624</v>
      </c>
      <c r="C100" s="19" t="s">
        <v>189</v>
      </c>
      <c r="D100" s="19" t="s">
        <v>190</v>
      </c>
      <c r="E100" s="19" t="s">
        <v>57</v>
      </c>
      <c r="F100" s="19" t="s">
        <v>186</v>
      </c>
      <c r="G100" s="20" t="str">
        <f>IF(LEN(ElecLkUp[[#This Row],[Ledger Code]])&gt;3,"AR"&amp;ElecLkUp[[#This Row],[Ledger Code]],"TBC")</f>
        <v>AR3624</v>
      </c>
      <c r="H100" s="114"/>
      <c r="I100" s="114"/>
      <c r="J100" s="114"/>
      <c r="K100" s="114"/>
      <c r="L100" s="114"/>
      <c r="M100" s="114"/>
      <c r="N100" s="114"/>
      <c r="O100" s="114"/>
      <c r="P100" s="41">
        <v>0</v>
      </c>
      <c r="Q100" s="41">
        <v>0</v>
      </c>
      <c r="R100" s="41">
        <v>-48.369999999999088</v>
      </c>
      <c r="S100" s="41">
        <v>5986.6800000000021</v>
      </c>
      <c r="T100" s="41">
        <v>1040.54</v>
      </c>
      <c r="U100" s="41">
        <v>1672.0700000000022</v>
      </c>
      <c r="V100" s="41">
        <v>4062.5499999999984</v>
      </c>
      <c r="W100" s="41">
        <v>163.16000000000128</v>
      </c>
      <c r="X100" s="36" t="s">
        <v>352</v>
      </c>
      <c r="Y100" s="36" t="s">
        <v>352</v>
      </c>
      <c r="Z100" s="36" t="s">
        <v>352</v>
      </c>
      <c r="AA100" s="36" t="s">
        <v>352</v>
      </c>
      <c r="AB100" s="36" t="s">
        <v>352</v>
      </c>
      <c r="AC100" s="36" t="s">
        <v>352</v>
      </c>
      <c r="AD100" s="36" t="s">
        <v>352</v>
      </c>
      <c r="AE100" s="36" t="s">
        <v>352</v>
      </c>
    </row>
    <row r="101" spans="1:31" ht="15" customHeight="1" x14ac:dyDescent="0.25">
      <c r="A101" s="18">
        <v>3333</v>
      </c>
      <c r="B101" s="19">
        <v>3632</v>
      </c>
      <c r="C101" s="19" t="s">
        <v>44</v>
      </c>
      <c r="D101" s="19" t="s">
        <v>191</v>
      </c>
      <c r="E101" s="19" t="s">
        <v>57</v>
      </c>
      <c r="F101" s="19" t="s">
        <v>186</v>
      </c>
      <c r="G101" s="20" t="str">
        <f>IF(LEN(ElecLkUp[[#This Row],[Ledger Code]])&gt;3,"AR"&amp;ElecLkUp[[#This Row],[Ledger Code]],"TBC")</f>
        <v>AR3632</v>
      </c>
      <c r="H101" s="114"/>
      <c r="I101" s="114"/>
      <c r="J101" s="114"/>
      <c r="K101" s="114"/>
      <c r="L101" s="114"/>
      <c r="M101" s="114"/>
      <c r="N101" s="114"/>
      <c r="O101" s="114"/>
      <c r="P101" s="41">
        <v>4535.0200000000004</v>
      </c>
      <c r="Q101" s="41">
        <v>41702.389999999992</v>
      </c>
      <c r="R101" s="41">
        <v>17597.939999999999</v>
      </c>
      <c r="S101" s="41">
        <v>17174.140000000003</v>
      </c>
      <c r="T101" s="41">
        <v>5447</v>
      </c>
      <c r="U101" s="41">
        <v>15821.030000000002</v>
      </c>
      <c r="V101" s="41">
        <v>30739.220000000016</v>
      </c>
      <c r="W101" s="41">
        <v>13269.2</v>
      </c>
      <c r="X101" s="36" t="s">
        <v>352</v>
      </c>
      <c r="Y101" s="36" t="s">
        <v>352</v>
      </c>
      <c r="Z101" s="36" t="s">
        <v>352</v>
      </c>
      <c r="AA101" s="36" t="s">
        <v>352</v>
      </c>
      <c r="AB101" s="36" t="s">
        <v>352</v>
      </c>
      <c r="AC101" s="36" t="s">
        <v>352</v>
      </c>
      <c r="AD101" s="36" t="s">
        <v>352</v>
      </c>
      <c r="AE101" s="36" t="s">
        <v>352</v>
      </c>
    </row>
    <row r="102" spans="1:31" ht="15" customHeight="1" x14ac:dyDescent="0.25">
      <c r="A102" s="18">
        <v>3334</v>
      </c>
      <c r="B102" s="19">
        <v>3633</v>
      </c>
      <c r="C102" s="19" t="s">
        <v>192</v>
      </c>
      <c r="D102" s="19" t="s">
        <v>193</v>
      </c>
      <c r="E102" s="19" t="s">
        <v>57</v>
      </c>
      <c r="F102" s="19" t="s">
        <v>186</v>
      </c>
      <c r="G102" s="20" t="str">
        <f>IF(LEN(ElecLkUp[[#This Row],[Ledger Code]])&gt;3,"AR"&amp;ElecLkUp[[#This Row],[Ledger Code]],"TBC")</f>
        <v>AR3633</v>
      </c>
      <c r="H102" s="114"/>
      <c r="I102" s="114"/>
      <c r="J102" s="114"/>
      <c r="K102" s="114"/>
      <c r="L102" s="114"/>
      <c r="M102" s="114"/>
      <c r="N102" s="114"/>
      <c r="O102" s="114"/>
      <c r="P102" s="41">
        <v>0</v>
      </c>
      <c r="Q102" s="41">
        <v>11962.48</v>
      </c>
      <c r="R102" s="41">
        <v>9126.869999999999</v>
      </c>
      <c r="S102" s="41">
        <v>9226.6899999999987</v>
      </c>
      <c r="T102" s="41">
        <v>5528.2000000000007</v>
      </c>
      <c r="U102" s="41">
        <v>10425.520000000002</v>
      </c>
      <c r="V102" s="41">
        <v>7677.3300000000017</v>
      </c>
      <c r="W102" s="41">
        <v>5380.68</v>
      </c>
      <c r="X102" s="36" t="s">
        <v>352</v>
      </c>
      <c r="Y102" s="36" t="s">
        <v>352</v>
      </c>
      <c r="Z102" s="36" t="s">
        <v>352</v>
      </c>
      <c r="AA102" s="36" t="s">
        <v>352</v>
      </c>
      <c r="AB102" s="36" t="s">
        <v>352</v>
      </c>
      <c r="AC102" s="36" t="s">
        <v>352</v>
      </c>
      <c r="AD102" s="36" t="s">
        <v>352</v>
      </c>
      <c r="AE102" s="36" t="s">
        <v>352</v>
      </c>
    </row>
    <row r="103" spans="1:31" ht="15" customHeight="1" x14ac:dyDescent="0.25">
      <c r="A103" s="18">
        <v>3340</v>
      </c>
      <c r="B103" s="19">
        <v>3642</v>
      </c>
      <c r="C103" s="19" t="s">
        <v>194</v>
      </c>
      <c r="D103" s="19" t="s">
        <v>195</v>
      </c>
      <c r="E103" s="19" t="s">
        <v>57</v>
      </c>
      <c r="F103" s="19" t="s">
        <v>186</v>
      </c>
      <c r="G103" s="20" t="str">
        <f>IF(LEN(ElecLkUp[[#This Row],[Ledger Code]])&gt;3,"AR"&amp;ElecLkUp[[#This Row],[Ledger Code]],"TBC")</f>
        <v>AR3642</v>
      </c>
      <c r="H103" s="114"/>
      <c r="I103" s="114"/>
      <c r="J103" s="114"/>
      <c r="K103" s="114"/>
      <c r="L103" s="114"/>
      <c r="M103" s="114"/>
      <c r="N103" s="114"/>
      <c r="O103" s="114"/>
      <c r="P103" s="41">
        <v>0</v>
      </c>
      <c r="Q103" s="41">
        <v>1558.62</v>
      </c>
      <c r="R103" s="41">
        <v>0</v>
      </c>
      <c r="S103" s="41">
        <v>-1558.62</v>
      </c>
      <c r="T103" s="41">
        <v>0</v>
      </c>
      <c r="U103" s="41">
        <v>0</v>
      </c>
      <c r="V103" s="41">
        <v>0</v>
      </c>
      <c r="W103" s="41">
        <v>0</v>
      </c>
      <c r="X103" s="36" t="s">
        <v>352</v>
      </c>
      <c r="Y103" s="36" t="s">
        <v>352</v>
      </c>
      <c r="Z103" s="36" t="s">
        <v>352</v>
      </c>
      <c r="AA103" s="36" t="s">
        <v>352</v>
      </c>
      <c r="AB103" s="36" t="s">
        <v>352</v>
      </c>
      <c r="AC103" s="36" t="s">
        <v>352</v>
      </c>
      <c r="AD103" s="36" t="s">
        <v>352</v>
      </c>
      <c r="AE103" s="36" t="s">
        <v>352</v>
      </c>
    </row>
    <row r="104" spans="1:31" ht="15" customHeight="1" x14ac:dyDescent="0.25">
      <c r="A104" s="18">
        <v>3345</v>
      </c>
      <c r="B104" s="19">
        <v>3644</v>
      </c>
      <c r="C104" s="19" t="s">
        <v>196</v>
      </c>
      <c r="D104" s="19" t="s">
        <v>197</v>
      </c>
      <c r="E104" s="19" t="s">
        <v>57</v>
      </c>
      <c r="F104" s="19" t="s">
        <v>186</v>
      </c>
      <c r="G104" s="20" t="str">
        <f>IF(LEN(ElecLkUp[[#This Row],[Ledger Code]])&gt;3,"AR"&amp;ElecLkUp[[#This Row],[Ledger Code]],"TBC")</f>
        <v>AR3644</v>
      </c>
      <c r="H104" s="114"/>
      <c r="I104" s="114"/>
      <c r="J104" s="114"/>
      <c r="K104" s="114"/>
      <c r="L104" s="114"/>
      <c r="M104" s="114"/>
      <c r="N104" s="114"/>
      <c r="O104" s="114"/>
      <c r="P104" s="41">
        <v>2910.15</v>
      </c>
      <c r="Q104" s="41">
        <v>11585.359999999999</v>
      </c>
      <c r="R104" s="41">
        <v>9072.84</v>
      </c>
      <c r="S104" s="41">
        <v>6911.8599999999988</v>
      </c>
      <c r="T104" s="41">
        <v>5990.47</v>
      </c>
      <c r="U104" s="41">
        <v>11574.550000000005</v>
      </c>
      <c r="V104" s="41">
        <v>9468.3599999999988</v>
      </c>
      <c r="W104" s="41">
        <v>6606.5000000000009</v>
      </c>
      <c r="X104" s="36" t="s">
        <v>352</v>
      </c>
      <c r="Y104" s="36" t="s">
        <v>352</v>
      </c>
      <c r="Z104" s="36" t="s">
        <v>352</v>
      </c>
      <c r="AA104" s="36" t="s">
        <v>352</v>
      </c>
      <c r="AB104" s="36" t="s">
        <v>352</v>
      </c>
      <c r="AC104" s="36" t="s">
        <v>352</v>
      </c>
      <c r="AD104" s="36" t="s">
        <v>352</v>
      </c>
      <c r="AE104" s="36" t="s">
        <v>352</v>
      </c>
    </row>
    <row r="105" spans="1:31" ht="15" customHeight="1" x14ac:dyDescent="0.25">
      <c r="A105" s="18">
        <v>3414</v>
      </c>
      <c r="B105" s="19">
        <v>3715</v>
      </c>
      <c r="C105" s="19" t="s">
        <v>198</v>
      </c>
      <c r="D105" s="19" t="s">
        <v>199</v>
      </c>
      <c r="E105" s="19" t="s">
        <v>57</v>
      </c>
      <c r="F105" s="19" t="s">
        <v>186</v>
      </c>
      <c r="G105" s="20" t="str">
        <f>IF(LEN(ElecLkUp[[#This Row],[Ledger Code]])&gt;3,"AR"&amp;ElecLkUp[[#This Row],[Ledger Code]],"TBC")</f>
        <v>AR3715</v>
      </c>
      <c r="H105" s="114"/>
      <c r="I105" s="114"/>
      <c r="J105" s="114"/>
      <c r="K105" s="114"/>
      <c r="L105" s="114"/>
      <c r="M105" s="114"/>
      <c r="N105" s="114"/>
      <c r="O105" s="114"/>
      <c r="P105" s="41">
        <v>4402.16</v>
      </c>
      <c r="Q105" s="41">
        <v>5674.54</v>
      </c>
      <c r="R105" s="41">
        <v>6447.07</v>
      </c>
      <c r="S105" s="41">
        <v>7006.6</v>
      </c>
      <c r="T105" s="41">
        <v>5553.59</v>
      </c>
      <c r="U105" s="41">
        <v>7337.7899999999991</v>
      </c>
      <c r="V105" s="41">
        <v>5767.0700000000006</v>
      </c>
      <c r="W105" s="41">
        <v>4205.3100000000013</v>
      </c>
      <c r="X105" s="36" t="s">
        <v>352</v>
      </c>
      <c r="Y105" s="36" t="s">
        <v>352</v>
      </c>
      <c r="Z105" s="36" t="s">
        <v>352</v>
      </c>
      <c r="AA105" s="36" t="s">
        <v>352</v>
      </c>
      <c r="AB105" s="36" t="s">
        <v>352</v>
      </c>
      <c r="AC105" s="36" t="s">
        <v>352</v>
      </c>
      <c r="AD105" s="36" t="s">
        <v>352</v>
      </c>
      <c r="AE105" s="36" t="s">
        <v>352</v>
      </c>
    </row>
    <row r="106" spans="1:31" ht="15" customHeight="1" x14ac:dyDescent="0.25">
      <c r="A106" s="18">
        <v>3418</v>
      </c>
      <c r="B106" s="19">
        <v>3704</v>
      </c>
      <c r="C106" s="19" t="s">
        <v>200</v>
      </c>
      <c r="D106" s="19" t="s">
        <v>201</v>
      </c>
      <c r="E106" s="19" t="s">
        <v>57</v>
      </c>
      <c r="F106" s="19" t="s">
        <v>186</v>
      </c>
      <c r="G106" s="20" t="str">
        <f>IF(LEN(ElecLkUp[[#This Row],[Ledger Code]])&gt;3,"AR"&amp;ElecLkUp[[#This Row],[Ledger Code]],"TBC")</f>
        <v>AR3704</v>
      </c>
      <c r="H106" s="114">
        <v>0</v>
      </c>
      <c r="I106" s="114">
        <v>0</v>
      </c>
      <c r="J106" s="114">
        <v>0</v>
      </c>
      <c r="K106" s="114">
        <v>0</v>
      </c>
      <c r="L106" s="114">
        <v>0</v>
      </c>
      <c r="M106" s="114">
        <v>0</v>
      </c>
      <c r="N106" s="114">
        <v>0</v>
      </c>
      <c r="O106" s="114">
        <v>0</v>
      </c>
      <c r="P106" s="41">
        <v>4210.8099999999995</v>
      </c>
      <c r="Q106" s="41">
        <v>5012.99</v>
      </c>
      <c r="R106" s="41">
        <v>4508.3300000000017</v>
      </c>
      <c r="S106" s="41">
        <v>12726.980000000001</v>
      </c>
      <c r="T106" s="41">
        <v>8200.369999999999</v>
      </c>
      <c r="U106" s="41">
        <v>7074.5</v>
      </c>
      <c r="V106" s="41">
        <v>9388.4600000000009</v>
      </c>
      <c r="W106" s="41">
        <v>3676.010000000002</v>
      </c>
      <c r="X106" s="36">
        <v>0</v>
      </c>
      <c r="Y106" s="36">
        <v>0</v>
      </c>
      <c r="Z106" s="36">
        <v>0</v>
      </c>
      <c r="AA106" s="36">
        <v>0</v>
      </c>
      <c r="AB106" s="36">
        <v>0</v>
      </c>
      <c r="AC106" s="36">
        <v>0</v>
      </c>
      <c r="AD106" s="36">
        <v>0</v>
      </c>
      <c r="AE106" s="36">
        <v>0</v>
      </c>
    </row>
    <row r="107" spans="1:31" ht="15" customHeight="1" x14ac:dyDescent="0.25">
      <c r="A107" s="18">
        <v>3442</v>
      </c>
      <c r="B107" s="19">
        <v>6527</v>
      </c>
      <c r="C107" s="19" t="s">
        <v>202</v>
      </c>
      <c r="D107" s="19" t="s">
        <v>203</v>
      </c>
      <c r="E107" s="19" t="s">
        <v>9</v>
      </c>
      <c r="F107" s="19" t="s">
        <v>83</v>
      </c>
      <c r="G107" s="20" t="str">
        <f>IF(LEN(ElecLkUp[[#This Row],[Ledger Code]])&gt;3,"AR"&amp;ElecLkUp[[#This Row],[Ledger Code]],"TBC")</f>
        <v>AR6527</v>
      </c>
      <c r="H107" s="114">
        <v>0</v>
      </c>
      <c r="I107" s="114">
        <v>0</v>
      </c>
      <c r="J107" s="114">
        <v>0</v>
      </c>
      <c r="K107" s="114">
        <v>0</v>
      </c>
      <c r="L107" s="114">
        <v>12751</v>
      </c>
      <c r="M107" s="114">
        <v>13887</v>
      </c>
      <c r="N107" s="114">
        <v>4635</v>
      </c>
      <c r="O107" s="114">
        <v>14642</v>
      </c>
      <c r="P107" s="41">
        <v>1627.08</v>
      </c>
      <c r="Q107" s="41">
        <v>3478.22</v>
      </c>
      <c r="R107" s="41">
        <v>9882.2199999999993</v>
      </c>
      <c r="S107" s="41">
        <v>13905.92</v>
      </c>
      <c r="T107" s="41">
        <v>6758.8400000000011</v>
      </c>
      <c r="U107" s="41">
        <v>9403.6600000000017</v>
      </c>
      <c r="V107" s="41">
        <v>6598.5099999999993</v>
      </c>
      <c r="W107" s="41">
        <v>4984.409999999998</v>
      </c>
      <c r="X107" s="36">
        <v>0</v>
      </c>
      <c r="Y107" s="36">
        <v>0</v>
      </c>
      <c r="Z107" s="36">
        <v>0</v>
      </c>
      <c r="AA107" s="36">
        <v>0</v>
      </c>
      <c r="AB107" s="36">
        <v>12751</v>
      </c>
      <c r="AC107" s="36">
        <v>13887</v>
      </c>
      <c r="AD107" s="36">
        <v>206604</v>
      </c>
      <c r="AE107" s="36">
        <v>188369</v>
      </c>
    </row>
    <row r="108" spans="1:31" ht="15" customHeight="1" x14ac:dyDescent="0.25">
      <c r="A108" s="18">
        <v>3513</v>
      </c>
      <c r="B108" s="19">
        <v>6413</v>
      </c>
      <c r="C108" s="19" t="s">
        <v>204</v>
      </c>
      <c r="D108" s="19" t="s">
        <v>205</v>
      </c>
      <c r="E108" s="19" t="s">
        <v>9</v>
      </c>
      <c r="F108" s="19" t="s">
        <v>83</v>
      </c>
      <c r="G108" s="20" t="str">
        <f>IF(LEN(ElecLkUp[[#This Row],[Ledger Code]])&gt;3,"AR"&amp;ElecLkUp[[#This Row],[Ledger Code]],"TBC")</f>
        <v>AR6413</v>
      </c>
      <c r="H108" s="114">
        <v>126726.5</v>
      </c>
      <c r="I108" s="114">
        <v>135716.70000000001</v>
      </c>
      <c r="J108" s="114">
        <v>141454.1</v>
      </c>
      <c r="K108" s="114">
        <v>145064.4</v>
      </c>
      <c r="L108" s="114">
        <v>112361.2</v>
      </c>
      <c r="M108" s="114">
        <v>105749.4</v>
      </c>
      <c r="N108" s="114">
        <v>41212</v>
      </c>
      <c r="O108" s="114">
        <v>0</v>
      </c>
      <c r="P108" s="41">
        <v>0</v>
      </c>
      <c r="Q108" s="41">
        <v>0</v>
      </c>
      <c r="R108" s="41">
        <v>0</v>
      </c>
      <c r="S108" s="41">
        <v>58576.810000000005</v>
      </c>
      <c r="T108" s="41">
        <v>14961.609999999999</v>
      </c>
      <c r="U108" s="41">
        <v>12300.590000000004</v>
      </c>
      <c r="V108" s="41">
        <v>14004.529999999999</v>
      </c>
      <c r="W108" s="41">
        <v>6163.329999999999</v>
      </c>
      <c r="X108" s="36">
        <v>126726.5</v>
      </c>
      <c r="Y108" s="36">
        <v>135716.70000000001</v>
      </c>
      <c r="Z108" s="36">
        <v>141454.1</v>
      </c>
      <c r="AA108" s="36">
        <v>145064.4</v>
      </c>
      <c r="AB108" s="36">
        <v>112361.2</v>
      </c>
      <c r="AC108" s="36">
        <v>105749.4</v>
      </c>
      <c r="AD108" s="36">
        <v>41212</v>
      </c>
      <c r="AE108" s="36">
        <v>0</v>
      </c>
    </row>
    <row r="109" spans="1:31" ht="15" customHeight="1" x14ac:dyDescent="0.25">
      <c r="A109" s="18">
        <v>3539</v>
      </c>
      <c r="B109" s="19">
        <v>6440</v>
      </c>
      <c r="C109" s="19" t="s">
        <v>206</v>
      </c>
      <c r="D109" s="19" t="s">
        <v>207</v>
      </c>
      <c r="E109" s="19" t="s">
        <v>9</v>
      </c>
      <c r="F109" s="19" t="s">
        <v>83</v>
      </c>
      <c r="G109" s="20" t="str">
        <f>IF(LEN(ElecLkUp[[#This Row],[Ledger Code]])&gt;3,"AR"&amp;ElecLkUp[[#This Row],[Ledger Code]],"TBC")</f>
        <v>AR6440</v>
      </c>
      <c r="H109" s="114">
        <v>0</v>
      </c>
      <c r="I109" s="114">
        <v>177522</v>
      </c>
      <c r="J109" s="114">
        <v>114248</v>
      </c>
      <c r="K109" s="114">
        <v>117849</v>
      </c>
      <c r="L109" s="114">
        <v>114709</v>
      </c>
      <c r="M109" s="114">
        <v>117029</v>
      </c>
      <c r="N109" s="114">
        <v>71908</v>
      </c>
      <c r="O109" s="114">
        <v>119873</v>
      </c>
      <c r="P109" s="41">
        <v>3497.9399999999996</v>
      </c>
      <c r="Q109" s="41">
        <v>16829.240000000002</v>
      </c>
      <c r="R109" s="41">
        <v>12962.199999999997</v>
      </c>
      <c r="S109" s="41">
        <v>14761.57</v>
      </c>
      <c r="T109" s="41">
        <v>13904.16</v>
      </c>
      <c r="U109" s="41">
        <v>14458.099999999997</v>
      </c>
      <c r="V109" s="41">
        <v>13744.37</v>
      </c>
      <c r="W109" s="41">
        <v>10518.05</v>
      </c>
      <c r="X109" s="36">
        <v>0</v>
      </c>
      <c r="Y109" s="36">
        <v>34104</v>
      </c>
      <c r="Z109" s="36">
        <v>23527</v>
      </c>
      <c r="AA109" s="36">
        <v>25156</v>
      </c>
      <c r="AB109" s="36">
        <v>22953</v>
      </c>
      <c r="AC109" s="36">
        <v>23357</v>
      </c>
      <c r="AD109" s="36">
        <v>210932</v>
      </c>
      <c r="AE109" s="36">
        <v>209906</v>
      </c>
    </row>
    <row r="110" spans="1:31" ht="15" customHeight="1" x14ac:dyDescent="0.25">
      <c r="A110" s="18">
        <v>3541</v>
      </c>
      <c r="B110" s="19">
        <v>6443</v>
      </c>
      <c r="C110" s="19" t="s">
        <v>208</v>
      </c>
      <c r="D110" s="19" t="s">
        <v>209</v>
      </c>
      <c r="E110" s="19" t="s">
        <v>9</v>
      </c>
      <c r="F110" s="19" t="s">
        <v>83</v>
      </c>
      <c r="G110" s="20" t="str">
        <f>IF(LEN(ElecLkUp[[#This Row],[Ledger Code]])&gt;3,"AR"&amp;ElecLkUp[[#This Row],[Ledger Code]],"TBC")</f>
        <v>AR6443</v>
      </c>
      <c r="H110" s="114">
        <v>0</v>
      </c>
      <c r="I110" s="114">
        <v>36227</v>
      </c>
      <c r="J110" s="114">
        <v>26733</v>
      </c>
      <c r="K110" s="114">
        <v>19518</v>
      </c>
      <c r="L110" s="114">
        <v>42423</v>
      </c>
      <c r="M110" s="114">
        <v>42605</v>
      </c>
      <c r="N110" s="114">
        <v>8848</v>
      </c>
      <c r="O110" s="114">
        <v>44935</v>
      </c>
      <c r="P110" s="41">
        <v>1087.49</v>
      </c>
      <c r="Q110" s="41">
        <v>3485.4300000000003</v>
      </c>
      <c r="R110" s="41">
        <v>3173.6099999999997</v>
      </c>
      <c r="S110" s="41">
        <v>2394.62</v>
      </c>
      <c r="T110" s="41">
        <v>9952.9500000000007</v>
      </c>
      <c r="U110" s="41">
        <v>693.13000000000034</v>
      </c>
      <c r="V110" s="41">
        <v>3345.27</v>
      </c>
      <c r="W110" s="41">
        <v>3163.3500000000004</v>
      </c>
      <c r="X110" s="36">
        <v>0</v>
      </c>
      <c r="Y110" s="36">
        <v>36227</v>
      </c>
      <c r="Z110" s="36">
        <v>26733</v>
      </c>
      <c r="AA110" s="36">
        <v>19518</v>
      </c>
      <c r="AB110" s="36">
        <v>42423</v>
      </c>
      <c r="AC110" s="36">
        <v>42605</v>
      </c>
      <c r="AD110" s="36">
        <v>210817</v>
      </c>
      <c r="AE110" s="36">
        <v>218662</v>
      </c>
    </row>
    <row r="111" spans="1:31" ht="15" customHeight="1" x14ac:dyDescent="0.25">
      <c r="A111" s="18">
        <v>3542</v>
      </c>
      <c r="B111" s="19">
        <v>6444</v>
      </c>
      <c r="C111" s="19" t="s">
        <v>210</v>
      </c>
      <c r="D111" s="19" t="s">
        <v>211</v>
      </c>
      <c r="E111" s="19" t="s">
        <v>9</v>
      </c>
      <c r="F111" s="19" t="s">
        <v>83</v>
      </c>
      <c r="G111" s="20" t="str">
        <f>IF(LEN(ElecLkUp[[#This Row],[Ledger Code]])&gt;3,"AR"&amp;ElecLkUp[[#This Row],[Ledger Code]],"TBC")</f>
        <v>AR6444</v>
      </c>
      <c r="H111" s="114"/>
      <c r="I111" s="114"/>
      <c r="J111" s="114"/>
      <c r="K111" s="114"/>
      <c r="L111" s="114"/>
      <c r="M111" s="114"/>
      <c r="N111" s="114"/>
      <c r="O111" s="114"/>
      <c r="P111" s="41">
        <v>0</v>
      </c>
      <c r="Q111" s="41">
        <v>0</v>
      </c>
      <c r="R111" s="41">
        <v>0</v>
      </c>
      <c r="S111" s="41">
        <v>0</v>
      </c>
      <c r="T111" s="41">
        <v>0</v>
      </c>
      <c r="U111" s="41">
        <v>1147.3699999999999</v>
      </c>
      <c r="V111" s="41">
        <v>-1.1368683772161603E-13</v>
      </c>
      <c r="W111" s="41">
        <v>-1147.3699999999999</v>
      </c>
      <c r="X111" s="36" t="s">
        <v>352</v>
      </c>
      <c r="Y111" s="36" t="s">
        <v>352</v>
      </c>
      <c r="Z111" s="36" t="s">
        <v>352</v>
      </c>
      <c r="AA111" s="36" t="s">
        <v>352</v>
      </c>
      <c r="AB111" s="36" t="s">
        <v>352</v>
      </c>
      <c r="AC111" s="36" t="s">
        <v>352</v>
      </c>
      <c r="AD111" s="36" t="s">
        <v>352</v>
      </c>
      <c r="AE111" s="36" t="s">
        <v>352</v>
      </c>
    </row>
    <row r="112" spans="1:31" ht="15" customHeight="1" x14ac:dyDescent="0.25">
      <c r="A112" s="18">
        <v>3574</v>
      </c>
      <c r="B112" s="19">
        <v>6477</v>
      </c>
      <c r="C112" s="19" t="s">
        <v>212</v>
      </c>
      <c r="D112" s="19" t="s">
        <v>213</v>
      </c>
      <c r="E112" s="19" t="s">
        <v>9</v>
      </c>
      <c r="F112" s="19" t="s">
        <v>83</v>
      </c>
      <c r="G112" s="20" t="str">
        <f>IF(LEN(ElecLkUp[[#This Row],[Ledger Code]])&gt;3,"AR"&amp;ElecLkUp[[#This Row],[Ledger Code]],"TBC")</f>
        <v>AR6477</v>
      </c>
      <c r="H112" s="114"/>
      <c r="I112" s="114"/>
      <c r="J112" s="114"/>
      <c r="K112" s="114"/>
      <c r="L112" s="114"/>
      <c r="M112" s="114"/>
      <c r="N112" s="114"/>
      <c r="O112" s="114"/>
      <c r="P112" s="41">
        <v>0</v>
      </c>
      <c r="Q112" s="41">
        <v>0</v>
      </c>
      <c r="R112" s="41">
        <v>0</v>
      </c>
      <c r="S112" s="41">
        <v>0</v>
      </c>
      <c r="T112" s="41">
        <v>0</v>
      </c>
      <c r="U112" s="41">
        <v>666.14</v>
      </c>
      <c r="V112" s="41">
        <v>1800.65</v>
      </c>
      <c r="W112" s="41">
        <v>-2466.79</v>
      </c>
      <c r="X112" s="36" t="s">
        <v>352</v>
      </c>
      <c r="Y112" s="36" t="s">
        <v>352</v>
      </c>
      <c r="Z112" s="36" t="s">
        <v>352</v>
      </c>
      <c r="AA112" s="36" t="s">
        <v>352</v>
      </c>
      <c r="AB112" s="36" t="s">
        <v>352</v>
      </c>
      <c r="AC112" s="36" t="s">
        <v>352</v>
      </c>
      <c r="AD112" s="36" t="s">
        <v>352</v>
      </c>
      <c r="AE112" s="36" t="s">
        <v>352</v>
      </c>
    </row>
    <row r="113" spans="1:31" ht="15" customHeight="1" x14ac:dyDescent="0.25">
      <c r="A113" s="18">
        <v>3720</v>
      </c>
      <c r="B113" s="19">
        <v>3967</v>
      </c>
      <c r="C113" s="19" t="s">
        <v>214</v>
      </c>
      <c r="D113" s="19" t="s">
        <v>215</v>
      </c>
      <c r="E113" s="19" t="s">
        <v>57</v>
      </c>
      <c r="F113" s="19" t="s">
        <v>186</v>
      </c>
      <c r="G113" s="20" t="str">
        <f>IF(LEN(ElecLkUp[[#This Row],[Ledger Code]])&gt;3,"AR"&amp;ElecLkUp[[#This Row],[Ledger Code]],"TBC")</f>
        <v>AR3967</v>
      </c>
      <c r="H113" s="114">
        <v>199532.4</v>
      </c>
      <c r="I113" s="114">
        <v>202348.4</v>
      </c>
      <c r="J113" s="114">
        <v>201473.6</v>
      </c>
      <c r="K113" s="114">
        <v>195480.2</v>
      </c>
      <c r="L113" s="114">
        <v>192113</v>
      </c>
      <c r="M113" s="114">
        <v>188868.7</v>
      </c>
      <c r="N113" s="114">
        <v>62543.9</v>
      </c>
      <c r="O113" s="114">
        <v>0</v>
      </c>
      <c r="P113" s="41">
        <v>25324.659999999996</v>
      </c>
      <c r="Q113" s="41">
        <v>-382.67999999999938</v>
      </c>
      <c r="R113" s="41">
        <v>1450.0999999999985</v>
      </c>
      <c r="S113" s="41">
        <v>93500.95</v>
      </c>
      <c r="T113" s="41">
        <v>25186.559999999998</v>
      </c>
      <c r="U113" s="41">
        <v>-7557.8499999999995</v>
      </c>
      <c r="V113" s="41">
        <v>24665.82</v>
      </c>
      <c r="W113" s="41">
        <v>8282.5999999999985</v>
      </c>
      <c r="X113" s="36">
        <v>199532.4</v>
      </c>
      <c r="Y113" s="36">
        <v>202348.4</v>
      </c>
      <c r="Z113" s="36">
        <v>201473.6</v>
      </c>
      <c r="AA113" s="36">
        <v>195480.2</v>
      </c>
      <c r="AB113" s="36">
        <v>192113</v>
      </c>
      <c r="AC113" s="36">
        <v>188868.7</v>
      </c>
      <c r="AD113" s="36">
        <v>62543.9</v>
      </c>
      <c r="AE113" s="36">
        <v>0</v>
      </c>
    </row>
    <row r="114" spans="1:31" ht="15" customHeight="1" x14ac:dyDescent="0.25">
      <c r="A114" s="18">
        <v>3748</v>
      </c>
      <c r="B114" s="19">
        <v>3993</v>
      </c>
      <c r="C114" s="19" t="s">
        <v>216</v>
      </c>
      <c r="D114" s="19" t="s">
        <v>217</v>
      </c>
      <c r="E114" s="19" t="s">
        <v>57</v>
      </c>
      <c r="F114" s="19" t="s">
        <v>186</v>
      </c>
      <c r="G114" s="20" t="str">
        <f>IF(LEN(ElecLkUp[[#This Row],[Ledger Code]])&gt;3,"AR"&amp;ElecLkUp[[#This Row],[Ledger Code]],"TBC")</f>
        <v>AR3993</v>
      </c>
      <c r="H114" s="114">
        <v>110473.2</v>
      </c>
      <c r="I114" s="114">
        <v>99536.1</v>
      </c>
      <c r="J114" s="114">
        <v>118163</v>
      </c>
      <c r="K114" s="114">
        <v>124165.8</v>
      </c>
      <c r="L114" s="114">
        <v>110427.4</v>
      </c>
      <c r="M114" s="114">
        <v>124930.7</v>
      </c>
      <c r="N114" s="114">
        <v>43355.1</v>
      </c>
      <c r="O114" s="114">
        <v>0</v>
      </c>
      <c r="P114" s="41">
        <v>11608.04</v>
      </c>
      <c r="Q114" s="41">
        <v>9763.880000000001</v>
      </c>
      <c r="R114" s="41">
        <v>0</v>
      </c>
      <c r="S114" s="41">
        <v>58204.380000000005</v>
      </c>
      <c r="T114" s="41">
        <v>15819.73</v>
      </c>
      <c r="U114" s="41">
        <v>-3696.6000000000004</v>
      </c>
      <c r="V114" s="41">
        <v>19127.990000000002</v>
      </c>
      <c r="W114" s="41">
        <v>7783.75</v>
      </c>
      <c r="X114" s="36">
        <v>110473.2</v>
      </c>
      <c r="Y114" s="36">
        <v>99536.1</v>
      </c>
      <c r="Z114" s="36">
        <v>118163</v>
      </c>
      <c r="AA114" s="36">
        <v>124165.8</v>
      </c>
      <c r="AB114" s="36">
        <v>110427.4</v>
      </c>
      <c r="AC114" s="36">
        <v>124930.7</v>
      </c>
      <c r="AD114" s="36">
        <v>43355.1</v>
      </c>
      <c r="AE114" s="36">
        <v>0</v>
      </c>
    </row>
    <row r="115" spans="1:31" ht="15" customHeight="1" x14ac:dyDescent="0.25">
      <c r="A115" s="18">
        <v>3945</v>
      </c>
      <c r="B115" s="19">
        <v>7030</v>
      </c>
      <c r="C115" s="19" t="s">
        <v>326</v>
      </c>
      <c r="D115" s="19">
        <v>0</v>
      </c>
      <c r="E115" s="19" t="s">
        <v>220</v>
      </c>
      <c r="F115" s="19" t="s">
        <v>221</v>
      </c>
      <c r="G115" s="20" t="str">
        <f>IF(LEN(ElecLkUp[[#This Row],[Ledger Code]])&gt;3,"AR"&amp;ElecLkUp[[#This Row],[Ledger Code]],"TBC")</f>
        <v>AR7030</v>
      </c>
      <c r="H115" s="114">
        <v>1358540.4000000001</v>
      </c>
      <c r="I115" s="114">
        <v>1347064.8</v>
      </c>
      <c r="J115" s="114">
        <v>1377140.7</v>
      </c>
      <c r="K115" s="114">
        <v>1384336.2</v>
      </c>
      <c r="L115" s="114">
        <v>1251528.8999999999</v>
      </c>
      <c r="M115" s="114">
        <v>1275288.6000000001</v>
      </c>
      <c r="N115" s="114">
        <v>456982.8</v>
      </c>
      <c r="O115" s="114">
        <v>28120</v>
      </c>
      <c r="P115" s="41">
        <v>0</v>
      </c>
      <c r="Q115" s="41">
        <v>252894.22</v>
      </c>
      <c r="R115" s="41">
        <v>144416.32000000001</v>
      </c>
      <c r="S115" s="41">
        <v>142989.60999999999</v>
      </c>
      <c r="T115" s="41">
        <v>146340.51</v>
      </c>
      <c r="U115" s="41">
        <v>136355.20000000001</v>
      </c>
      <c r="V115" s="41">
        <v>135320.24000000002</v>
      </c>
      <c r="W115" s="41">
        <v>54532.709999999985</v>
      </c>
      <c r="X115" s="36">
        <v>0</v>
      </c>
      <c r="Y115" s="36">
        <v>0</v>
      </c>
      <c r="Z115" s="36">
        <v>0</v>
      </c>
      <c r="AA115" s="36">
        <v>62610</v>
      </c>
      <c r="AB115" s="36">
        <v>16790</v>
      </c>
      <c r="AC115" s="36">
        <v>7350</v>
      </c>
      <c r="AD115" s="36">
        <v>212019</v>
      </c>
      <c r="AE115" s="36">
        <v>201847</v>
      </c>
    </row>
    <row r="116" spans="1:31" ht="15" customHeight="1" x14ac:dyDescent="0.25">
      <c r="A116" s="18">
        <v>3959</v>
      </c>
      <c r="B116" s="19">
        <v>7075</v>
      </c>
      <c r="C116" s="19" t="s">
        <v>218</v>
      </c>
      <c r="D116" s="19" t="s">
        <v>219</v>
      </c>
      <c r="E116" s="19" t="s">
        <v>220</v>
      </c>
      <c r="F116" s="19" t="s">
        <v>221</v>
      </c>
      <c r="G116" s="20" t="str">
        <f>IF(LEN(ElecLkUp[[#This Row],[Ledger Code]])&gt;3,"AR"&amp;ElecLkUp[[#This Row],[Ledger Code]],"TBC")</f>
        <v>AR7075</v>
      </c>
      <c r="H116" s="114"/>
      <c r="I116" s="114"/>
      <c r="J116" s="114"/>
      <c r="K116" s="114"/>
      <c r="L116" s="114"/>
      <c r="M116" s="114"/>
      <c r="N116" s="114"/>
      <c r="O116" s="114"/>
      <c r="P116" s="41">
        <v>0</v>
      </c>
      <c r="Q116" s="41">
        <v>0</v>
      </c>
      <c r="R116" s="41">
        <v>0</v>
      </c>
      <c r="S116" s="41">
        <v>0</v>
      </c>
      <c r="T116" s="41">
        <v>0</v>
      </c>
      <c r="U116" s="41">
        <v>0</v>
      </c>
      <c r="V116" s="41">
        <v>0</v>
      </c>
      <c r="W116" s="41">
        <v>0</v>
      </c>
      <c r="X116" s="36" t="s">
        <v>352</v>
      </c>
      <c r="Y116" s="36" t="s">
        <v>352</v>
      </c>
      <c r="Z116" s="36" t="s">
        <v>352</v>
      </c>
      <c r="AA116" s="36" t="s">
        <v>352</v>
      </c>
      <c r="AB116" s="36" t="s">
        <v>352</v>
      </c>
      <c r="AC116" s="36" t="s">
        <v>352</v>
      </c>
      <c r="AD116" s="36" t="s">
        <v>352</v>
      </c>
      <c r="AE116" s="36" t="s">
        <v>352</v>
      </c>
    </row>
    <row r="117" spans="1:31" ht="15" customHeight="1" x14ac:dyDescent="0.25">
      <c r="A117" s="18">
        <v>3977</v>
      </c>
      <c r="B117" s="19">
        <v>7103</v>
      </c>
      <c r="C117" s="19" t="s">
        <v>222</v>
      </c>
      <c r="D117" s="19" t="s">
        <v>223</v>
      </c>
      <c r="E117" s="19" t="s">
        <v>220</v>
      </c>
      <c r="F117" s="19" t="s">
        <v>221</v>
      </c>
      <c r="G117" s="20" t="str">
        <f>IF(LEN(ElecLkUp[[#This Row],[Ledger Code]])&gt;3,"AR"&amp;ElecLkUp[[#This Row],[Ledger Code]],"TBC")</f>
        <v>AR7103</v>
      </c>
      <c r="H117" s="114"/>
      <c r="I117" s="114"/>
      <c r="J117" s="114"/>
      <c r="K117" s="114"/>
      <c r="L117" s="114"/>
      <c r="M117" s="114"/>
      <c r="N117" s="114"/>
      <c r="O117" s="114"/>
      <c r="P117" s="41">
        <v>14977.619999999999</v>
      </c>
      <c r="Q117" s="41">
        <v>22702.950000000004</v>
      </c>
      <c r="R117" s="41">
        <v>21867.329999999994</v>
      </c>
      <c r="S117" s="41">
        <v>13357.35</v>
      </c>
      <c r="T117" s="41">
        <v>20632.21</v>
      </c>
      <c r="U117" s="41">
        <v>6323.0299999999952</v>
      </c>
      <c r="V117" s="41">
        <v>36587.15</v>
      </c>
      <c r="W117" s="41">
        <v>5999.7199999999993</v>
      </c>
      <c r="X117" s="36" t="s">
        <v>352</v>
      </c>
      <c r="Y117" s="36" t="s">
        <v>352</v>
      </c>
      <c r="Z117" s="36" t="s">
        <v>352</v>
      </c>
      <c r="AA117" s="36" t="s">
        <v>352</v>
      </c>
      <c r="AB117" s="36" t="s">
        <v>352</v>
      </c>
      <c r="AC117" s="36" t="s">
        <v>352</v>
      </c>
      <c r="AD117" s="36" t="s">
        <v>352</v>
      </c>
      <c r="AE117" s="36" t="s">
        <v>352</v>
      </c>
    </row>
    <row r="118" spans="1:31" ht="15" customHeight="1" x14ac:dyDescent="0.25">
      <c r="A118" s="18">
        <v>4053</v>
      </c>
      <c r="B118" s="19">
        <v>7258</v>
      </c>
      <c r="C118" s="19" t="s">
        <v>324</v>
      </c>
      <c r="D118" s="19" t="s">
        <v>325</v>
      </c>
      <c r="E118" s="19" t="s">
        <v>220</v>
      </c>
      <c r="F118" s="19">
        <v>0</v>
      </c>
      <c r="G118" s="20" t="str">
        <f>IF(LEN(ElecLkUp[[#This Row],[Ledger Code]])&gt;3,"AR"&amp;ElecLkUp[[#This Row],[Ledger Code]],"TBC")</f>
        <v>AR7258</v>
      </c>
      <c r="H118" s="114">
        <v>0</v>
      </c>
      <c r="I118" s="114">
        <v>0</v>
      </c>
      <c r="J118" s="114">
        <v>0</v>
      </c>
      <c r="K118" s="114">
        <v>0</v>
      </c>
      <c r="L118" s="114">
        <v>45909.2</v>
      </c>
      <c r="M118" s="114">
        <v>162297.9</v>
      </c>
      <c r="N118" s="114">
        <v>50947.200000000004</v>
      </c>
      <c r="O118" s="114">
        <v>0</v>
      </c>
      <c r="P118" s="41">
        <v>11813.589999999998</v>
      </c>
      <c r="Q118" s="41">
        <v>25711.639999999996</v>
      </c>
      <c r="R118" s="41">
        <v>25152.469999999998</v>
      </c>
      <c r="S118" s="41">
        <v>23502.610000000004</v>
      </c>
      <c r="T118" s="41">
        <v>18613.95</v>
      </c>
      <c r="U118" s="41">
        <v>24060.880000000008</v>
      </c>
      <c r="V118" s="41">
        <v>15434.250000000002</v>
      </c>
      <c r="W118" s="41">
        <v>14394.66</v>
      </c>
      <c r="X118" s="36" t="s">
        <v>352</v>
      </c>
      <c r="Y118" s="36" t="s">
        <v>352</v>
      </c>
      <c r="Z118" s="36" t="s">
        <v>352</v>
      </c>
      <c r="AA118" s="36" t="s">
        <v>352</v>
      </c>
      <c r="AB118" s="36" t="s">
        <v>352</v>
      </c>
      <c r="AC118" s="36" t="s">
        <v>352</v>
      </c>
      <c r="AD118" s="36" t="s">
        <v>352</v>
      </c>
      <c r="AE118" s="36" t="s">
        <v>352</v>
      </c>
    </row>
    <row r="119" spans="1:31" ht="15" customHeight="1" x14ac:dyDescent="0.25">
      <c r="A119" s="18">
        <v>4058</v>
      </c>
      <c r="B119" s="19">
        <v>7284</v>
      </c>
      <c r="C119" s="19" t="s">
        <v>224</v>
      </c>
      <c r="D119" s="19" t="s">
        <v>225</v>
      </c>
      <c r="E119" s="19" t="s">
        <v>220</v>
      </c>
      <c r="F119" s="19" t="s">
        <v>221</v>
      </c>
      <c r="G119" s="20" t="str">
        <f>IF(LEN(ElecLkUp[[#This Row],[Ledger Code]])&gt;3,"AR"&amp;ElecLkUp[[#This Row],[Ledger Code]],"TBC")</f>
        <v>AR7284</v>
      </c>
      <c r="H119" s="114">
        <v>0</v>
      </c>
      <c r="I119" s="114">
        <v>13980</v>
      </c>
      <c r="J119" s="114">
        <v>9288</v>
      </c>
      <c r="K119" s="114">
        <v>10055</v>
      </c>
      <c r="L119" s="114">
        <v>8952</v>
      </c>
      <c r="M119" s="114">
        <v>8124</v>
      </c>
      <c r="N119" s="114">
        <v>-2721</v>
      </c>
      <c r="O119" s="114">
        <v>-5344</v>
      </c>
      <c r="P119" s="41">
        <v>529.93999999999869</v>
      </c>
      <c r="Q119" s="41">
        <v>39211.829999999994</v>
      </c>
      <c r="R119" s="41">
        <v>20305.330000000002</v>
      </c>
      <c r="S119" s="41">
        <v>20673.330000000002</v>
      </c>
      <c r="T119" s="41">
        <v>25322.37</v>
      </c>
      <c r="U119" s="41">
        <v>19887.450000000004</v>
      </c>
      <c r="V119" s="41">
        <v>22842.78</v>
      </c>
      <c r="W119" s="41">
        <v>5612.4400000000014</v>
      </c>
      <c r="X119" s="36">
        <v>0</v>
      </c>
      <c r="Y119" s="36">
        <v>13980</v>
      </c>
      <c r="Z119" s="36">
        <v>9288</v>
      </c>
      <c r="AA119" s="36">
        <v>10055</v>
      </c>
      <c r="AB119" s="36">
        <v>8952</v>
      </c>
      <c r="AC119" s="36">
        <v>8124</v>
      </c>
      <c r="AD119" s="36">
        <v>199248</v>
      </c>
      <c r="AE119" s="36">
        <v>168383</v>
      </c>
    </row>
    <row r="120" spans="1:31" ht="15" customHeight="1" x14ac:dyDescent="0.25">
      <c r="A120" s="18">
        <v>4219</v>
      </c>
      <c r="B120" s="19">
        <v>7430</v>
      </c>
      <c r="C120" s="19" t="s">
        <v>226</v>
      </c>
      <c r="D120" s="19" t="s">
        <v>227</v>
      </c>
      <c r="E120" s="19" t="s">
        <v>220</v>
      </c>
      <c r="F120" s="19" t="s">
        <v>228</v>
      </c>
      <c r="G120" s="20" t="str">
        <f>IF(LEN(ElecLkUp[[#This Row],[Ledger Code]])&gt;3,"AR"&amp;ElecLkUp[[#This Row],[Ledger Code]],"TBC")</f>
        <v>AR7430</v>
      </c>
      <c r="H120" s="114"/>
      <c r="I120" s="114"/>
      <c r="J120" s="114"/>
      <c r="K120" s="114"/>
      <c r="L120" s="114"/>
      <c r="M120" s="114"/>
      <c r="N120" s="114"/>
      <c r="O120" s="114"/>
      <c r="P120" s="41">
        <v>0</v>
      </c>
      <c r="Q120" s="41">
        <v>0</v>
      </c>
      <c r="R120" s="41">
        <v>0</v>
      </c>
      <c r="S120" s="41">
        <v>0</v>
      </c>
      <c r="T120" s="41">
        <v>0</v>
      </c>
      <c r="U120" s="41">
        <v>0</v>
      </c>
      <c r="V120" s="41">
        <v>-7.2759576141834259E-12</v>
      </c>
      <c r="W120" s="41">
        <v>46835.81</v>
      </c>
      <c r="X120" s="36" t="s">
        <v>352</v>
      </c>
      <c r="Y120" s="36" t="s">
        <v>352</v>
      </c>
      <c r="Z120" s="36" t="s">
        <v>352</v>
      </c>
      <c r="AA120" s="36" t="s">
        <v>352</v>
      </c>
      <c r="AB120" s="36" t="s">
        <v>352</v>
      </c>
      <c r="AC120" s="36" t="s">
        <v>352</v>
      </c>
      <c r="AD120" s="36" t="s">
        <v>352</v>
      </c>
      <c r="AE120" s="36" t="s">
        <v>352</v>
      </c>
    </row>
    <row r="121" spans="1:31" ht="15" customHeight="1" x14ac:dyDescent="0.25">
      <c r="A121" s="18">
        <v>4267</v>
      </c>
      <c r="B121" s="19">
        <v>7468</v>
      </c>
      <c r="C121" s="19" t="s">
        <v>229</v>
      </c>
      <c r="D121" s="19" t="s">
        <v>230</v>
      </c>
      <c r="E121" s="19" t="s">
        <v>220</v>
      </c>
      <c r="F121" s="19" t="s">
        <v>228</v>
      </c>
      <c r="G121" s="20" t="str">
        <f>IF(LEN(ElecLkUp[[#This Row],[Ledger Code]])&gt;3,"AR"&amp;ElecLkUp[[#This Row],[Ledger Code]],"TBC")</f>
        <v>AR7468</v>
      </c>
      <c r="H121" s="114"/>
      <c r="I121" s="114"/>
      <c r="J121" s="114"/>
      <c r="K121" s="114"/>
      <c r="L121" s="114"/>
      <c r="M121" s="114"/>
      <c r="N121" s="114"/>
      <c r="O121" s="114"/>
      <c r="P121" s="41">
        <v>0</v>
      </c>
      <c r="Q121" s="41">
        <v>0</v>
      </c>
      <c r="R121" s="41">
        <v>0</v>
      </c>
      <c r="S121" s="41">
        <v>0</v>
      </c>
      <c r="T121" s="41">
        <v>0</v>
      </c>
      <c r="U121" s="41">
        <v>0</v>
      </c>
      <c r="V121" s="41">
        <v>0</v>
      </c>
      <c r="W121" s="41">
        <v>0</v>
      </c>
      <c r="X121" s="36" t="s">
        <v>352</v>
      </c>
      <c r="Y121" s="36" t="s">
        <v>352</v>
      </c>
      <c r="Z121" s="36" t="s">
        <v>352</v>
      </c>
      <c r="AA121" s="36" t="s">
        <v>352</v>
      </c>
      <c r="AB121" s="36" t="s">
        <v>352</v>
      </c>
      <c r="AC121" s="36" t="s">
        <v>352</v>
      </c>
      <c r="AD121" s="36" t="s">
        <v>352</v>
      </c>
      <c r="AE121" s="36" t="s">
        <v>352</v>
      </c>
    </row>
    <row r="122" spans="1:31" ht="15" customHeight="1" x14ac:dyDescent="0.25">
      <c r="A122" s="18">
        <v>4309</v>
      </c>
      <c r="B122" s="19">
        <v>4198</v>
      </c>
      <c r="C122" s="19" t="s">
        <v>231</v>
      </c>
      <c r="D122" s="19" t="s">
        <v>232</v>
      </c>
      <c r="E122" s="19" t="s">
        <v>57</v>
      </c>
      <c r="F122" s="19" t="s">
        <v>233</v>
      </c>
      <c r="G122" s="20" t="str">
        <f>IF(LEN(ElecLkUp[[#This Row],[Ledger Code]])&gt;3,"AR"&amp;ElecLkUp[[#This Row],[Ledger Code]],"TBC")</f>
        <v>AR4198</v>
      </c>
      <c r="H122" s="114"/>
      <c r="I122" s="114"/>
      <c r="J122" s="114"/>
      <c r="K122" s="114"/>
      <c r="L122" s="114"/>
      <c r="M122" s="114"/>
      <c r="N122" s="114"/>
      <c r="O122" s="114"/>
      <c r="P122" s="41">
        <v>0</v>
      </c>
      <c r="Q122" s="41">
        <v>1629.08</v>
      </c>
      <c r="R122" s="41">
        <v>11522.500000000002</v>
      </c>
      <c r="S122" s="41">
        <v>4116.54</v>
      </c>
      <c r="T122" s="41">
        <v>3444.62</v>
      </c>
      <c r="U122" s="41">
        <v>6422.51</v>
      </c>
      <c r="V122" s="41">
        <v>4882.9799999999996</v>
      </c>
      <c r="W122" s="41">
        <v>1606.7499999999998</v>
      </c>
      <c r="X122" s="36" t="s">
        <v>352</v>
      </c>
      <c r="Y122" s="36" t="s">
        <v>352</v>
      </c>
      <c r="Z122" s="36" t="s">
        <v>352</v>
      </c>
      <c r="AA122" s="36" t="s">
        <v>352</v>
      </c>
      <c r="AB122" s="36" t="s">
        <v>352</v>
      </c>
      <c r="AC122" s="36" t="s">
        <v>352</v>
      </c>
      <c r="AD122" s="36" t="s">
        <v>352</v>
      </c>
      <c r="AE122" s="36" t="s">
        <v>352</v>
      </c>
    </row>
    <row r="123" spans="1:31" ht="15" customHeight="1" x14ac:dyDescent="0.25">
      <c r="A123" s="18">
        <v>4338</v>
      </c>
      <c r="B123" s="19">
        <v>4101</v>
      </c>
      <c r="C123" s="19" t="s">
        <v>234</v>
      </c>
      <c r="D123" s="19" t="s">
        <v>235</v>
      </c>
      <c r="E123" s="19" t="s">
        <v>57</v>
      </c>
      <c r="F123" s="19" t="s">
        <v>233</v>
      </c>
      <c r="G123" s="20" t="str">
        <f>IF(LEN(ElecLkUp[[#This Row],[Ledger Code]])&gt;3,"AR"&amp;ElecLkUp[[#This Row],[Ledger Code]],"TBC")</f>
        <v>AR4101</v>
      </c>
      <c r="H123" s="114"/>
      <c r="I123" s="114"/>
      <c r="J123" s="114"/>
      <c r="K123" s="114"/>
      <c r="L123" s="114"/>
      <c r="M123" s="114"/>
      <c r="N123" s="114"/>
      <c r="O123" s="114"/>
      <c r="P123" s="41">
        <v>3660.75</v>
      </c>
      <c r="Q123" s="41">
        <v>5706.98</v>
      </c>
      <c r="R123" s="41">
        <v>3566.04</v>
      </c>
      <c r="S123" s="41">
        <v>8774.66</v>
      </c>
      <c r="T123" s="41">
        <v>1945.79</v>
      </c>
      <c r="U123" s="41">
        <v>9893.8599999999988</v>
      </c>
      <c r="V123" s="41">
        <v>2132.010000000002</v>
      </c>
      <c r="W123" s="41">
        <v>7578.3899999999994</v>
      </c>
      <c r="X123" s="36" t="s">
        <v>352</v>
      </c>
      <c r="Y123" s="36" t="s">
        <v>352</v>
      </c>
      <c r="Z123" s="36" t="s">
        <v>352</v>
      </c>
      <c r="AA123" s="36" t="s">
        <v>352</v>
      </c>
      <c r="AB123" s="36" t="s">
        <v>352</v>
      </c>
      <c r="AC123" s="36" t="s">
        <v>352</v>
      </c>
      <c r="AD123" s="36" t="s">
        <v>352</v>
      </c>
      <c r="AE123" s="36" t="s">
        <v>352</v>
      </c>
    </row>
    <row r="124" spans="1:31" ht="15" customHeight="1" x14ac:dyDescent="0.25">
      <c r="A124" s="18">
        <v>4397</v>
      </c>
      <c r="B124" s="19">
        <v>4080</v>
      </c>
      <c r="C124" s="19" t="s">
        <v>236</v>
      </c>
      <c r="D124" s="19" t="s">
        <v>237</v>
      </c>
      <c r="E124" s="19" t="s">
        <v>57</v>
      </c>
      <c r="F124" s="19" t="s">
        <v>233</v>
      </c>
      <c r="G124" s="20" t="str">
        <f>IF(LEN(ElecLkUp[[#This Row],[Ledger Code]])&gt;3,"AR"&amp;ElecLkUp[[#This Row],[Ledger Code]],"TBC")</f>
        <v>AR4080</v>
      </c>
      <c r="H124" s="114">
        <v>0</v>
      </c>
      <c r="I124" s="114">
        <v>0</v>
      </c>
      <c r="J124" s="114">
        <v>217431</v>
      </c>
      <c r="K124" s="114">
        <v>84372</v>
      </c>
      <c r="L124" s="114">
        <v>79715</v>
      </c>
      <c r="M124" s="114">
        <v>70033</v>
      </c>
      <c r="N124" s="114">
        <v>53701</v>
      </c>
      <c r="O124" s="114">
        <v>92015</v>
      </c>
      <c r="P124" s="41">
        <v>0</v>
      </c>
      <c r="Q124" s="41">
        <v>0</v>
      </c>
      <c r="R124" s="41">
        <v>26128.969999999998</v>
      </c>
      <c r="S124" s="41">
        <v>13760.9</v>
      </c>
      <c r="T124" s="41">
        <v>6012.6699999999983</v>
      </c>
      <c r="U124" s="41">
        <v>8623.1200000000008</v>
      </c>
      <c r="V124" s="41">
        <v>9658.24</v>
      </c>
      <c r="W124" s="41">
        <v>11828.71</v>
      </c>
      <c r="X124" s="36">
        <v>0</v>
      </c>
      <c r="Y124" s="36">
        <v>0</v>
      </c>
      <c r="Z124" s="36">
        <v>217431</v>
      </c>
      <c r="AA124" s="36">
        <v>84372</v>
      </c>
      <c r="AB124" s="36">
        <v>79715</v>
      </c>
      <c r="AC124" s="36">
        <v>70033</v>
      </c>
      <c r="AD124" s="36">
        <v>255670</v>
      </c>
      <c r="AE124" s="36">
        <v>265742</v>
      </c>
    </row>
    <row r="125" spans="1:31" ht="15" customHeight="1" x14ac:dyDescent="0.25">
      <c r="A125" s="18">
        <v>4487</v>
      </c>
      <c r="B125" s="19">
        <v>6591</v>
      </c>
      <c r="C125" s="19" t="s">
        <v>238</v>
      </c>
      <c r="D125" s="19" t="s">
        <v>239</v>
      </c>
      <c r="E125" s="19" t="s">
        <v>9</v>
      </c>
      <c r="F125" s="19" t="s">
        <v>10</v>
      </c>
      <c r="G125" s="20" t="str">
        <f>IF(LEN(ElecLkUp[[#This Row],[Ledger Code]])&gt;3,"AR"&amp;ElecLkUp[[#This Row],[Ledger Code]],"TBC")</f>
        <v>AR6591</v>
      </c>
      <c r="H125" s="114"/>
      <c r="I125" s="114"/>
      <c r="J125" s="114"/>
      <c r="K125" s="114"/>
      <c r="L125" s="114"/>
      <c r="M125" s="114"/>
      <c r="N125" s="114"/>
      <c r="O125" s="114"/>
      <c r="P125" s="41">
        <v>0</v>
      </c>
      <c r="Q125" s="41">
        <v>9911.8599999999988</v>
      </c>
      <c r="R125" s="41">
        <v>-47.560000000000855</v>
      </c>
      <c r="S125" s="41">
        <v>9656.08</v>
      </c>
      <c r="T125" s="41">
        <v>0</v>
      </c>
      <c r="U125" s="41">
        <v>3999.1400000000049</v>
      </c>
      <c r="V125" s="41">
        <v>7740.4400000000014</v>
      </c>
      <c r="W125" s="41">
        <v>4122.3099999999995</v>
      </c>
      <c r="X125" s="36" t="s">
        <v>352</v>
      </c>
      <c r="Y125" s="36" t="s">
        <v>352</v>
      </c>
      <c r="Z125" s="36" t="s">
        <v>352</v>
      </c>
      <c r="AA125" s="36" t="s">
        <v>352</v>
      </c>
      <c r="AB125" s="36" t="s">
        <v>352</v>
      </c>
      <c r="AC125" s="36" t="s">
        <v>352</v>
      </c>
      <c r="AD125" s="36" t="s">
        <v>352</v>
      </c>
      <c r="AE125" s="36" t="s">
        <v>352</v>
      </c>
    </row>
    <row r="126" spans="1:31" ht="15" customHeight="1" x14ac:dyDescent="0.25">
      <c r="A126" s="18">
        <v>4585</v>
      </c>
      <c r="B126" s="19">
        <v>6599</v>
      </c>
      <c r="C126" s="19" t="s">
        <v>240</v>
      </c>
      <c r="D126" s="19" t="s">
        <v>241</v>
      </c>
      <c r="E126" s="19" t="s">
        <v>9</v>
      </c>
      <c r="F126" s="19" t="s">
        <v>10</v>
      </c>
      <c r="G126" s="20" t="str">
        <f>IF(LEN(ElecLkUp[[#This Row],[Ledger Code]])&gt;3,"AR"&amp;ElecLkUp[[#This Row],[Ledger Code]],"TBC")</f>
        <v>AR6599</v>
      </c>
      <c r="H126" s="114">
        <v>0</v>
      </c>
      <c r="I126" s="114">
        <v>85541</v>
      </c>
      <c r="J126" s="114">
        <v>54313</v>
      </c>
      <c r="K126" s="114">
        <v>63811</v>
      </c>
      <c r="L126" s="114">
        <v>47617</v>
      </c>
      <c r="M126" s="114">
        <v>43562</v>
      </c>
      <c r="N126" s="114">
        <v>31566</v>
      </c>
      <c r="O126" s="114">
        <v>57543</v>
      </c>
      <c r="P126" s="41">
        <v>2548.2799999999997</v>
      </c>
      <c r="Q126" s="41">
        <v>7594.67</v>
      </c>
      <c r="R126" s="41">
        <v>0</v>
      </c>
      <c r="S126" s="41">
        <v>14557.719999999992</v>
      </c>
      <c r="T126" s="41">
        <v>5862.07</v>
      </c>
      <c r="U126" s="41">
        <v>5506.3299999999981</v>
      </c>
      <c r="V126" s="41">
        <v>5831.2400000000007</v>
      </c>
      <c r="W126" s="41">
        <v>5556.25</v>
      </c>
      <c r="X126" s="36">
        <v>0</v>
      </c>
      <c r="Y126" s="36">
        <v>85541</v>
      </c>
      <c r="Z126" s="36">
        <v>54313</v>
      </c>
      <c r="AA126" s="36">
        <v>63811</v>
      </c>
      <c r="AB126" s="36">
        <v>47617</v>
      </c>
      <c r="AC126" s="36">
        <v>43562</v>
      </c>
      <c r="AD126" s="36">
        <v>233535</v>
      </c>
      <c r="AE126" s="36">
        <v>231270</v>
      </c>
    </row>
    <row r="127" spans="1:31" ht="15" customHeight="1" x14ac:dyDescent="0.25">
      <c r="A127" s="18">
        <v>4752</v>
      </c>
      <c r="B127" s="19">
        <v>7665</v>
      </c>
      <c r="C127" s="19" t="s">
        <v>242</v>
      </c>
      <c r="D127" s="19" t="s">
        <v>243</v>
      </c>
      <c r="E127" s="19" t="s">
        <v>220</v>
      </c>
      <c r="F127" s="19" t="s">
        <v>244</v>
      </c>
      <c r="G127" s="20" t="str">
        <f>IF(LEN(ElecLkUp[[#This Row],[Ledger Code]])&gt;3,"AR"&amp;ElecLkUp[[#This Row],[Ledger Code]],"TBC")</f>
        <v>AR7665</v>
      </c>
      <c r="H127" s="114">
        <v>276539.40000000002</v>
      </c>
      <c r="I127" s="114">
        <v>304606.8</v>
      </c>
      <c r="J127" s="114">
        <v>279213.40000000002</v>
      </c>
      <c r="K127" s="114">
        <v>279750.2</v>
      </c>
      <c r="L127" s="114">
        <v>287718</v>
      </c>
      <c r="M127" s="114">
        <v>306975.09999999998</v>
      </c>
      <c r="N127" s="114">
        <v>102279</v>
      </c>
      <c r="O127" s="114">
        <v>0</v>
      </c>
      <c r="P127" s="41">
        <v>0</v>
      </c>
      <c r="Q127" s="41">
        <v>60439.91</v>
      </c>
      <c r="R127" s="41">
        <v>34349.22</v>
      </c>
      <c r="S127" s="41">
        <v>33286.04</v>
      </c>
      <c r="T127" s="41">
        <v>34557.260000000009</v>
      </c>
      <c r="U127" s="41">
        <v>37026.22</v>
      </c>
      <c r="V127" s="41">
        <v>35987.57</v>
      </c>
      <c r="W127" s="41">
        <v>11461.690000000004</v>
      </c>
      <c r="X127" s="36">
        <v>276539.40000000002</v>
      </c>
      <c r="Y127" s="36">
        <v>304606.8</v>
      </c>
      <c r="Z127" s="36">
        <v>279213.40000000002</v>
      </c>
      <c r="AA127" s="36">
        <v>279750.2</v>
      </c>
      <c r="AB127" s="36">
        <v>287718</v>
      </c>
      <c r="AC127" s="36">
        <v>306975.09999999998</v>
      </c>
      <c r="AD127" s="36">
        <v>102279</v>
      </c>
      <c r="AE127" s="36">
        <v>0</v>
      </c>
    </row>
    <row r="128" spans="1:31" ht="15" customHeight="1" x14ac:dyDescent="0.25">
      <c r="A128" s="18">
        <v>4770</v>
      </c>
      <c r="B128" s="19">
        <v>7698</v>
      </c>
      <c r="C128" s="19" t="s">
        <v>245</v>
      </c>
      <c r="D128" s="19" t="s">
        <v>246</v>
      </c>
      <c r="E128" s="19" t="s">
        <v>220</v>
      </c>
      <c r="F128" s="19" t="s">
        <v>244</v>
      </c>
      <c r="G128" s="20" t="str">
        <f>IF(LEN(ElecLkUp[[#This Row],[Ledger Code]])&gt;3,"AR"&amp;ElecLkUp[[#This Row],[Ledger Code]],"TBC")</f>
        <v>AR7698</v>
      </c>
      <c r="H128" s="114">
        <v>0</v>
      </c>
      <c r="I128" s="114">
        <v>54786</v>
      </c>
      <c r="J128" s="114">
        <v>43774</v>
      </c>
      <c r="K128" s="114">
        <v>39709</v>
      </c>
      <c r="L128" s="114">
        <v>36058</v>
      </c>
      <c r="M128" s="114">
        <v>37623</v>
      </c>
      <c r="N128" s="114">
        <v>22421</v>
      </c>
      <c r="O128" s="114">
        <v>37573</v>
      </c>
      <c r="P128" s="41">
        <v>1475.02</v>
      </c>
      <c r="Q128" s="41">
        <v>4701.53</v>
      </c>
      <c r="R128" s="41">
        <v>5007.76</v>
      </c>
      <c r="S128" s="41">
        <v>4342.8500000000004</v>
      </c>
      <c r="T128" s="41">
        <v>4149.5400000000009</v>
      </c>
      <c r="U128" s="41">
        <v>4297.62</v>
      </c>
      <c r="V128" s="41">
        <v>4008.91</v>
      </c>
      <c r="W128" s="41">
        <v>3015.33</v>
      </c>
      <c r="X128" s="36">
        <v>0</v>
      </c>
      <c r="Y128" s="36">
        <v>54786</v>
      </c>
      <c r="Z128" s="36">
        <v>43774</v>
      </c>
      <c r="AA128" s="36">
        <v>39709</v>
      </c>
      <c r="AB128" s="36">
        <v>36058</v>
      </c>
      <c r="AC128" s="36">
        <v>37623</v>
      </c>
      <c r="AD128" s="36">
        <v>224390</v>
      </c>
      <c r="AE128" s="36">
        <v>211300</v>
      </c>
    </row>
    <row r="129" spans="1:31" ht="15" customHeight="1" x14ac:dyDescent="0.25">
      <c r="A129" s="18">
        <v>4801</v>
      </c>
      <c r="B129" s="19">
        <v>7829</v>
      </c>
      <c r="C129" s="19" t="s">
        <v>247</v>
      </c>
      <c r="D129" s="19" t="s">
        <v>248</v>
      </c>
      <c r="E129" s="19" t="s">
        <v>220</v>
      </c>
      <c r="F129" s="19" t="s">
        <v>244</v>
      </c>
      <c r="G129" s="20" t="str">
        <f>IF(LEN(ElecLkUp[[#This Row],[Ledger Code]])&gt;3,"AR"&amp;ElecLkUp[[#This Row],[Ledger Code]],"TBC")</f>
        <v>AR7829</v>
      </c>
      <c r="H129" s="114">
        <v>368455.4</v>
      </c>
      <c r="I129" s="114">
        <v>388253.3</v>
      </c>
      <c r="J129" s="114">
        <v>387869.5</v>
      </c>
      <c r="K129" s="114">
        <v>381119.5</v>
      </c>
      <c r="L129" s="114">
        <v>397545.2</v>
      </c>
      <c r="M129" s="114">
        <v>428423.1</v>
      </c>
      <c r="N129" s="114">
        <v>147906.5</v>
      </c>
      <c r="O129" s="114">
        <v>0</v>
      </c>
      <c r="P129" s="41">
        <v>0</v>
      </c>
      <c r="Q129" s="41">
        <v>31312.98</v>
      </c>
      <c r="R129" s="41">
        <v>45530.040000000008</v>
      </c>
      <c r="S129" s="41">
        <v>44910.7</v>
      </c>
      <c r="T129" s="41">
        <v>47802.74</v>
      </c>
      <c r="U129" s="41">
        <v>49273.140000000007</v>
      </c>
      <c r="V129" s="41">
        <v>-52061.55000000001</v>
      </c>
      <c r="W129" s="41">
        <v>743.30000000000655</v>
      </c>
      <c r="X129" s="36">
        <v>368455.4</v>
      </c>
      <c r="Y129" s="36">
        <v>388253.3</v>
      </c>
      <c r="Z129" s="36">
        <v>387869.5</v>
      </c>
      <c r="AA129" s="36">
        <v>381119.5</v>
      </c>
      <c r="AB129" s="36">
        <v>397545.2</v>
      </c>
      <c r="AC129" s="36">
        <v>428423.1</v>
      </c>
      <c r="AD129" s="36">
        <v>147906.5</v>
      </c>
      <c r="AE129" s="36">
        <v>0</v>
      </c>
    </row>
    <row r="130" spans="1:31" ht="15" customHeight="1" x14ac:dyDescent="0.25">
      <c r="A130" s="18">
        <v>4925</v>
      </c>
      <c r="B130" s="19">
        <v>4233</v>
      </c>
      <c r="C130" s="19" t="s">
        <v>249</v>
      </c>
      <c r="D130" s="19" t="s">
        <v>250</v>
      </c>
      <c r="E130" s="19" t="s">
        <v>57</v>
      </c>
      <c r="F130" s="19" t="s">
        <v>233</v>
      </c>
      <c r="G130" s="20" t="str">
        <f>IF(LEN(ElecLkUp[[#This Row],[Ledger Code]])&gt;3,"AR"&amp;ElecLkUp[[#This Row],[Ledger Code]],"TBC")</f>
        <v>AR4233</v>
      </c>
      <c r="H130" s="114"/>
      <c r="I130" s="114"/>
      <c r="J130" s="114"/>
      <c r="K130" s="114"/>
      <c r="L130" s="114"/>
      <c r="M130" s="114"/>
      <c r="N130" s="114"/>
      <c r="O130" s="114"/>
      <c r="P130" s="41">
        <v>0</v>
      </c>
      <c r="Q130" s="41">
        <v>0</v>
      </c>
      <c r="R130" s="41">
        <v>4259.45</v>
      </c>
      <c r="S130" s="41">
        <v>4333.2199999999993</v>
      </c>
      <c r="T130" s="41">
        <v>2876.12</v>
      </c>
      <c r="U130" s="41">
        <v>802.3900000000001</v>
      </c>
      <c r="V130" s="41">
        <v>2005.0099999999998</v>
      </c>
      <c r="W130" s="41">
        <v>572.26</v>
      </c>
      <c r="X130" s="36" t="s">
        <v>352</v>
      </c>
      <c r="Y130" s="36" t="s">
        <v>352</v>
      </c>
      <c r="Z130" s="36" t="s">
        <v>352</v>
      </c>
      <c r="AA130" s="36" t="s">
        <v>352</v>
      </c>
      <c r="AB130" s="36" t="s">
        <v>352</v>
      </c>
      <c r="AC130" s="36" t="s">
        <v>352</v>
      </c>
      <c r="AD130" s="36" t="s">
        <v>352</v>
      </c>
      <c r="AE130" s="36" t="s">
        <v>352</v>
      </c>
    </row>
    <row r="131" spans="1:31" ht="15" customHeight="1" x14ac:dyDescent="0.25">
      <c r="A131" s="18">
        <v>4951</v>
      </c>
      <c r="B131" s="19">
        <v>4287</v>
      </c>
      <c r="C131" s="19" t="s">
        <v>251</v>
      </c>
      <c r="D131" s="19" t="s">
        <v>252</v>
      </c>
      <c r="E131" s="19" t="s">
        <v>57</v>
      </c>
      <c r="F131" s="19" t="s">
        <v>233</v>
      </c>
      <c r="G131" s="20" t="str">
        <f>IF(LEN(ElecLkUp[[#This Row],[Ledger Code]])&gt;3,"AR"&amp;ElecLkUp[[#This Row],[Ledger Code]],"TBC")</f>
        <v>AR4287</v>
      </c>
      <c r="H131" s="114"/>
      <c r="I131" s="114"/>
      <c r="J131" s="114"/>
      <c r="K131" s="114"/>
      <c r="L131" s="114"/>
      <c r="M131" s="114"/>
      <c r="N131" s="114"/>
      <c r="O131" s="114"/>
      <c r="P131" s="41">
        <v>0</v>
      </c>
      <c r="Q131" s="41">
        <v>0</v>
      </c>
      <c r="R131" s="41">
        <v>0</v>
      </c>
      <c r="S131" s="41">
        <v>0</v>
      </c>
      <c r="T131" s="41">
        <v>0</v>
      </c>
      <c r="U131" s="41">
        <v>0</v>
      </c>
      <c r="V131" s="41">
        <v>0</v>
      </c>
      <c r="W131" s="41">
        <v>4835.5200000000004</v>
      </c>
      <c r="X131" s="36" t="s">
        <v>352</v>
      </c>
      <c r="Y131" s="36" t="s">
        <v>352</v>
      </c>
      <c r="Z131" s="36" t="s">
        <v>352</v>
      </c>
      <c r="AA131" s="36" t="s">
        <v>352</v>
      </c>
      <c r="AB131" s="36" t="s">
        <v>352</v>
      </c>
      <c r="AC131" s="36" t="s">
        <v>352</v>
      </c>
      <c r="AD131" s="36" t="s">
        <v>352</v>
      </c>
      <c r="AE131" s="36" t="s">
        <v>352</v>
      </c>
    </row>
    <row r="132" spans="1:31" ht="15" customHeight="1" x14ac:dyDescent="0.25">
      <c r="A132" s="18">
        <v>4966</v>
      </c>
      <c r="B132" s="19">
        <v>4301</v>
      </c>
      <c r="C132" s="19" t="s">
        <v>253</v>
      </c>
      <c r="D132" s="19" t="s">
        <v>254</v>
      </c>
      <c r="E132" s="19" t="s">
        <v>57</v>
      </c>
      <c r="F132" s="19" t="s">
        <v>233</v>
      </c>
      <c r="G132" s="20" t="str">
        <f>IF(LEN(ElecLkUp[[#This Row],[Ledger Code]])&gt;3,"AR"&amp;ElecLkUp[[#This Row],[Ledger Code]],"TBC")</f>
        <v>AR4301</v>
      </c>
      <c r="H132" s="114">
        <v>59683.3</v>
      </c>
      <c r="I132" s="114">
        <v>62113.4</v>
      </c>
      <c r="J132" s="114">
        <v>63451</v>
      </c>
      <c r="K132" s="114">
        <v>61813.7</v>
      </c>
      <c r="L132" s="114">
        <v>60064.1</v>
      </c>
      <c r="M132" s="114">
        <v>59612.5</v>
      </c>
      <c r="N132" s="114">
        <v>20416.2</v>
      </c>
      <c r="O132" s="114">
        <v>0</v>
      </c>
      <c r="P132" s="41">
        <v>2649.52</v>
      </c>
      <c r="Q132" s="41">
        <v>12882.86</v>
      </c>
      <c r="R132" s="41">
        <v>7913.11</v>
      </c>
      <c r="S132" s="41">
        <v>8208.83</v>
      </c>
      <c r="T132" s="41">
        <v>7462.8700000000008</v>
      </c>
      <c r="U132" s="41">
        <v>7655.4299999999994</v>
      </c>
      <c r="V132" s="41">
        <v>7524.17</v>
      </c>
      <c r="W132" s="41">
        <v>2782.5400000000004</v>
      </c>
      <c r="X132" s="36">
        <v>59683.3</v>
      </c>
      <c r="Y132" s="36">
        <v>62113.4</v>
      </c>
      <c r="Z132" s="36">
        <v>63451</v>
      </c>
      <c r="AA132" s="36">
        <v>61813.7</v>
      </c>
      <c r="AB132" s="36">
        <v>60064.1</v>
      </c>
      <c r="AC132" s="36">
        <v>59612.5</v>
      </c>
      <c r="AD132" s="36">
        <v>20416.2</v>
      </c>
      <c r="AE132" s="36">
        <v>0</v>
      </c>
    </row>
    <row r="133" spans="1:31" ht="15" customHeight="1" x14ac:dyDescent="0.25">
      <c r="A133" s="18">
        <v>4979</v>
      </c>
      <c r="B133" s="19">
        <v>4325</v>
      </c>
      <c r="C133" s="19" t="s">
        <v>255</v>
      </c>
      <c r="D133" s="19" t="s">
        <v>256</v>
      </c>
      <c r="E133" s="19" t="s">
        <v>57</v>
      </c>
      <c r="F133" s="19" t="s">
        <v>233</v>
      </c>
      <c r="G133" s="20" t="str">
        <f>IF(LEN(ElecLkUp[[#This Row],[Ledger Code]])&gt;3,"AR"&amp;ElecLkUp[[#This Row],[Ledger Code]],"TBC")</f>
        <v>AR4325</v>
      </c>
      <c r="H133" s="114">
        <v>108290.8</v>
      </c>
      <c r="I133" s="114">
        <v>128354.1</v>
      </c>
      <c r="J133" s="114">
        <v>110057.1</v>
      </c>
      <c r="K133" s="114">
        <v>113171.2</v>
      </c>
      <c r="L133" s="114">
        <v>112051.3</v>
      </c>
      <c r="M133" s="114">
        <v>122490.4</v>
      </c>
      <c r="N133" s="114">
        <v>41825.1</v>
      </c>
      <c r="O133" s="114">
        <v>0</v>
      </c>
      <c r="P133" s="41">
        <v>2514.2700000000004</v>
      </c>
      <c r="Q133" s="41">
        <v>10946.380000000001</v>
      </c>
      <c r="R133" s="41">
        <v>40788.490000000005</v>
      </c>
      <c r="S133" s="41">
        <v>18039.97</v>
      </c>
      <c r="T133" s="41">
        <v>16537.73</v>
      </c>
      <c r="U133" s="41">
        <v>11181.440000000002</v>
      </c>
      <c r="V133" s="41">
        <v>13934.83</v>
      </c>
      <c r="W133" s="41">
        <v>11084.48</v>
      </c>
      <c r="X133" s="36">
        <v>25989.200000000001</v>
      </c>
      <c r="Y133" s="36">
        <v>27317.9</v>
      </c>
      <c r="Z133" s="36">
        <v>29566.9</v>
      </c>
      <c r="AA133" s="36">
        <v>29819.599999999999</v>
      </c>
      <c r="AB133" s="36">
        <v>24541.9</v>
      </c>
      <c r="AC133" s="36">
        <v>25532.3</v>
      </c>
      <c r="AD133" s="36">
        <v>8928.4</v>
      </c>
      <c r="AE133" s="36">
        <v>0</v>
      </c>
    </row>
    <row r="134" spans="1:31" ht="15" customHeight="1" x14ac:dyDescent="0.25">
      <c r="A134" s="18">
        <v>4991</v>
      </c>
      <c r="B134" s="19">
        <v>4353</v>
      </c>
      <c r="C134" s="19" t="s">
        <v>257</v>
      </c>
      <c r="D134" s="19" t="s">
        <v>258</v>
      </c>
      <c r="E134" s="19" t="s">
        <v>57</v>
      </c>
      <c r="F134" s="19" t="s">
        <v>233</v>
      </c>
      <c r="G134" s="20" t="str">
        <f>IF(LEN(ElecLkUp[[#This Row],[Ledger Code]])&gt;3,"AR"&amp;ElecLkUp[[#This Row],[Ledger Code]],"TBC")</f>
        <v>AR4353</v>
      </c>
      <c r="H134" s="114"/>
      <c r="I134" s="114"/>
      <c r="J134" s="114"/>
      <c r="K134" s="114"/>
      <c r="L134" s="114"/>
      <c r="M134" s="114"/>
      <c r="N134" s="114"/>
      <c r="O134" s="114"/>
      <c r="P134" s="41">
        <v>692.01999999999953</v>
      </c>
      <c r="Q134" s="41">
        <v>8498.93</v>
      </c>
      <c r="R134" s="41">
        <v>5825.8799999999947</v>
      </c>
      <c r="S134" s="41">
        <v>37426.69999999999</v>
      </c>
      <c r="T134" s="41">
        <v>11016.020000000002</v>
      </c>
      <c r="U134" s="41">
        <v>0</v>
      </c>
      <c r="V134" s="41">
        <v>18554.079999999987</v>
      </c>
      <c r="W134" s="41">
        <v>19467.26999999999</v>
      </c>
      <c r="X134" s="36" t="s">
        <v>352</v>
      </c>
      <c r="Y134" s="36" t="s">
        <v>352</v>
      </c>
      <c r="Z134" s="36" t="s">
        <v>352</v>
      </c>
      <c r="AA134" s="36" t="s">
        <v>352</v>
      </c>
      <c r="AB134" s="36" t="s">
        <v>352</v>
      </c>
      <c r="AC134" s="36" t="s">
        <v>352</v>
      </c>
      <c r="AD134" s="36" t="s">
        <v>352</v>
      </c>
      <c r="AE134" s="36" t="s">
        <v>352</v>
      </c>
    </row>
    <row r="135" spans="1:31" ht="15" customHeight="1" x14ac:dyDescent="0.25">
      <c r="A135" s="18">
        <v>5135</v>
      </c>
      <c r="B135" s="19">
        <v>8656</v>
      </c>
      <c r="C135" s="19" t="s">
        <v>259</v>
      </c>
      <c r="D135" s="19" t="s">
        <v>260</v>
      </c>
      <c r="E135" s="19" t="s">
        <v>26</v>
      </c>
      <c r="F135" s="19" t="s">
        <v>175</v>
      </c>
      <c r="G135" s="20" t="str">
        <f>IF(LEN(ElecLkUp[[#This Row],[Ledger Code]])&gt;3,"AR"&amp;ElecLkUp[[#This Row],[Ledger Code]],"TBC")</f>
        <v>AR8656</v>
      </c>
      <c r="H135" s="114">
        <v>0</v>
      </c>
      <c r="I135" s="114">
        <v>5890</v>
      </c>
      <c r="J135" s="114">
        <v>36080</v>
      </c>
      <c r="K135" s="114">
        <v>37790</v>
      </c>
      <c r="L135" s="114">
        <v>34740</v>
      </c>
      <c r="M135" s="114">
        <v>33410</v>
      </c>
      <c r="N135" s="114">
        <v>23300</v>
      </c>
      <c r="O135" s="114">
        <v>135910</v>
      </c>
      <c r="P135" s="41">
        <v>0</v>
      </c>
      <c r="Q135" s="41">
        <v>16554.530000000002</v>
      </c>
      <c r="R135" s="41">
        <v>5437.05</v>
      </c>
      <c r="S135" s="41">
        <v>4895.28</v>
      </c>
      <c r="T135" s="41">
        <v>4472.5799999999981</v>
      </c>
      <c r="U135" s="41">
        <v>28829.89</v>
      </c>
      <c r="V135" s="41">
        <v>-20230.169999999998</v>
      </c>
      <c r="W135" s="41">
        <v>12878.46</v>
      </c>
      <c r="X135" s="36">
        <v>0</v>
      </c>
      <c r="Y135" s="36">
        <v>5890</v>
      </c>
      <c r="Z135" s="36">
        <v>36080</v>
      </c>
      <c r="AA135" s="36">
        <v>37790</v>
      </c>
      <c r="AB135" s="36">
        <v>34740</v>
      </c>
      <c r="AC135" s="36">
        <v>33410</v>
      </c>
      <c r="AD135" s="36">
        <v>225269</v>
      </c>
      <c r="AE135" s="36">
        <v>309637</v>
      </c>
    </row>
    <row r="136" spans="1:31" ht="15" customHeight="1" x14ac:dyDescent="0.25">
      <c r="A136" s="18">
        <v>5150</v>
      </c>
      <c r="B136" s="19">
        <v>8653</v>
      </c>
      <c r="C136" s="19" t="s">
        <v>261</v>
      </c>
      <c r="D136" s="19" t="s">
        <v>262</v>
      </c>
      <c r="E136" s="19" t="s">
        <v>26</v>
      </c>
      <c r="F136" s="19" t="s">
        <v>175</v>
      </c>
      <c r="G136" s="20" t="str">
        <f>IF(LEN(ElecLkUp[[#This Row],[Ledger Code]])&gt;3,"AR"&amp;ElecLkUp[[#This Row],[Ledger Code]],"TBC")</f>
        <v>AR8653</v>
      </c>
      <c r="H136" s="114"/>
      <c r="I136" s="114"/>
      <c r="J136" s="114"/>
      <c r="K136" s="114"/>
      <c r="L136" s="114"/>
      <c r="M136" s="114"/>
      <c r="N136" s="114"/>
      <c r="O136" s="114"/>
      <c r="P136" s="41">
        <v>0</v>
      </c>
      <c r="Q136" s="41">
        <v>26141.56</v>
      </c>
      <c r="R136" s="41">
        <v>620.14999999999873</v>
      </c>
      <c r="S136" s="41">
        <v>15709.17</v>
      </c>
      <c r="T136" s="41">
        <v>9591.98</v>
      </c>
      <c r="U136" s="41">
        <v>-165.28999999999996</v>
      </c>
      <c r="V136" s="41">
        <v>0</v>
      </c>
      <c r="W136" s="41">
        <v>0</v>
      </c>
      <c r="X136" s="36" t="s">
        <v>352</v>
      </c>
      <c r="Y136" s="36" t="s">
        <v>352</v>
      </c>
      <c r="Z136" s="36" t="s">
        <v>352</v>
      </c>
      <c r="AA136" s="36" t="s">
        <v>352</v>
      </c>
      <c r="AB136" s="36" t="s">
        <v>352</v>
      </c>
      <c r="AC136" s="36" t="s">
        <v>352</v>
      </c>
      <c r="AD136" s="36" t="s">
        <v>352</v>
      </c>
      <c r="AE136" s="36" t="s">
        <v>352</v>
      </c>
    </row>
    <row r="137" spans="1:31" ht="15" customHeight="1" x14ac:dyDescent="0.25">
      <c r="A137" s="18">
        <v>5151</v>
      </c>
      <c r="B137" s="19">
        <v>8667</v>
      </c>
      <c r="C137" s="19" t="s">
        <v>263</v>
      </c>
      <c r="D137" s="19" t="s">
        <v>264</v>
      </c>
      <c r="E137" s="19" t="s">
        <v>26</v>
      </c>
      <c r="F137" s="19" t="s">
        <v>175</v>
      </c>
      <c r="G137" s="20" t="str">
        <f>IF(LEN(ElecLkUp[[#This Row],[Ledger Code]])&gt;3,"AR"&amp;ElecLkUp[[#This Row],[Ledger Code]],"TBC")</f>
        <v>AR8667</v>
      </c>
      <c r="H137" s="114"/>
      <c r="I137" s="114"/>
      <c r="J137" s="114"/>
      <c r="K137" s="114"/>
      <c r="L137" s="114"/>
      <c r="M137" s="114"/>
      <c r="N137" s="114"/>
      <c r="O137" s="114"/>
      <c r="P137" s="41">
        <v>0</v>
      </c>
      <c r="Q137" s="41">
        <v>0</v>
      </c>
      <c r="R137" s="41">
        <v>-1.4210854715202004E-14</v>
      </c>
      <c r="S137" s="41">
        <v>47.959999999999987</v>
      </c>
      <c r="T137" s="41">
        <v>0</v>
      </c>
      <c r="U137" s="41">
        <v>0</v>
      </c>
      <c r="V137" s="41">
        <v>0</v>
      </c>
      <c r="W137" s="41">
        <v>0</v>
      </c>
      <c r="X137" s="36" t="s">
        <v>352</v>
      </c>
      <c r="Y137" s="36" t="s">
        <v>352</v>
      </c>
      <c r="Z137" s="36" t="s">
        <v>352</v>
      </c>
      <c r="AA137" s="36" t="s">
        <v>352</v>
      </c>
      <c r="AB137" s="36" t="s">
        <v>352</v>
      </c>
      <c r="AC137" s="36" t="s">
        <v>352</v>
      </c>
      <c r="AD137" s="36" t="s">
        <v>352</v>
      </c>
      <c r="AE137" s="36" t="s">
        <v>352</v>
      </c>
    </row>
    <row r="138" spans="1:31" ht="15" customHeight="1" x14ac:dyDescent="0.25">
      <c r="A138" s="18">
        <v>5237</v>
      </c>
      <c r="B138" s="19">
        <v>8756</v>
      </c>
      <c r="C138" s="19" t="s">
        <v>265</v>
      </c>
      <c r="D138" s="19" t="s">
        <v>266</v>
      </c>
      <c r="E138" s="19" t="s">
        <v>26</v>
      </c>
      <c r="F138" s="19" t="s">
        <v>175</v>
      </c>
      <c r="G138" s="20" t="str">
        <f>IF(LEN(ElecLkUp[[#This Row],[Ledger Code]])&gt;3,"AR"&amp;ElecLkUp[[#This Row],[Ledger Code]],"TBC")</f>
        <v>AR8756</v>
      </c>
      <c r="H138" s="114">
        <v>114213.6</v>
      </c>
      <c r="I138" s="114">
        <v>120278.5</v>
      </c>
      <c r="J138" s="114">
        <v>119994</v>
      </c>
      <c r="K138" s="114">
        <v>115334.5</v>
      </c>
      <c r="L138" s="114">
        <v>106866.5</v>
      </c>
      <c r="M138" s="114">
        <v>109772.6</v>
      </c>
      <c r="N138" s="114">
        <v>36738.1</v>
      </c>
      <c r="O138" s="114">
        <v>0</v>
      </c>
      <c r="P138" s="41">
        <v>0</v>
      </c>
      <c r="Q138" s="41">
        <v>0</v>
      </c>
      <c r="R138" s="41">
        <v>15326.349999999999</v>
      </c>
      <c r="S138" s="41">
        <v>-3.1832314562052488E-12</v>
      </c>
      <c r="T138" s="41">
        <v>0</v>
      </c>
      <c r="U138" s="41">
        <v>0</v>
      </c>
      <c r="V138" s="41">
        <v>39219.979999999996</v>
      </c>
      <c r="W138" s="41">
        <v>5984.7199999999984</v>
      </c>
      <c r="X138" s="36">
        <v>114213.6</v>
      </c>
      <c r="Y138" s="36">
        <v>120278.5</v>
      </c>
      <c r="Z138" s="36">
        <v>119994</v>
      </c>
      <c r="AA138" s="36">
        <v>115334.5</v>
      </c>
      <c r="AB138" s="36">
        <v>106866.5</v>
      </c>
      <c r="AC138" s="36">
        <v>109772.6</v>
      </c>
      <c r="AD138" s="36">
        <v>36738.1</v>
      </c>
      <c r="AE138" s="36">
        <v>0</v>
      </c>
    </row>
    <row r="139" spans="1:31" ht="15" customHeight="1" x14ac:dyDescent="0.25">
      <c r="A139" s="18">
        <v>5241</v>
      </c>
      <c r="B139" s="19">
        <v>8759</v>
      </c>
      <c r="C139" s="19" t="s">
        <v>267</v>
      </c>
      <c r="D139" s="19" t="s">
        <v>268</v>
      </c>
      <c r="E139" s="19" t="s">
        <v>26</v>
      </c>
      <c r="F139" s="19" t="s">
        <v>175</v>
      </c>
      <c r="G139" s="20" t="str">
        <f>IF(LEN(ElecLkUp[[#This Row],[Ledger Code]])&gt;3,"AR"&amp;ElecLkUp[[#This Row],[Ledger Code]],"TBC")</f>
        <v>AR8759</v>
      </c>
      <c r="H139" s="114">
        <v>954553</v>
      </c>
      <c r="I139" s="114">
        <v>981917.2</v>
      </c>
      <c r="J139" s="114">
        <v>1022918.4</v>
      </c>
      <c r="K139" s="114">
        <v>978134.2</v>
      </c>
      <c r="L139" s="114">
        <v>924062</v>
      </c>
      <c r="M139" s="114">
        <v>951372.1</v>
      </c>
      <c r="N139" s="114">
        <v>334620.7</v>
      </c>
      <c r="O139" s="114">
        <v>13</v>
      </c>
      <c r="P139" s="41">
        <v>0</v>
      </c>
      <c r="Q139" s="41">
        <v>178842.16000000003</v>
      </c>
      <c r="R139" s="41">
        <v>110245.43999999999</v>
      </c>
      <c r="S139" s="41">
        <v>108419.65999999999</v>
      </c>
      <c r="T139" s="41">
        <v>106899.19000000002</v>
      </c>
      <c r="U139" s="41">
        <v>138930.78999999998</v>
      </c>
      <c r="V139" s="41">
        <v>72223.19</v>
      </c>
      <c r="W139" s="41">
        <v>37037.759999999995</v>
      </c>
      <c r="X139" s="36">
        <v>954553</v>
      </c>
      <c r="Y139" s="36">
        <v>981917.2</v>
      </c>
      <c r="Z139" s="36">
        <v>1022918.4</v>
      </c>
      <c r="AA139" s="36">
        <v>978134.2</v>
      </c>
      <c r="AB139" s="36">
        <v>924062</v>
      </c>
      <c r="AC139" s="36">
        <v>951372.1</v>
      </c>
      <c r="AD139" s="36">
        <v>334620.7</v>
      </c>
      <c r="AE139" s="36">
        <v>13</v>
      </c>
    </row>
    <row r="140" spans="1:31" ht="15" customHeight="1" x14ac:dyDescent="0.25">
      <c r="A140" s="18">
        <v>5282</v>
      </c>
      <c r="B140" s="19">
        <v>8886</v>
      </c>
      <c r="C140" s="19" t="s">
        <v>269</v>
      </c>
      <c r="D140" s="19" t="s">
        <v>270</v>
      </c>
      <c r="E140" s="19" t="s">
        <v>26</v>
      </c>
      <c r="F140" s="19" t="s">
        <v>27</v>
      </c>
      <c r="G140" s="20" t="str">
        <f>IF(LEN(ElecLkUp[[#This Row],[Ledger Code]])&gt;3,"AR"&amp;ElecLkUp[[#This Row],[Ledger Code]],"TBC")</f>
        <v>AR8886</v>
      </c>
      <c r="H140" s="114">
        <v>172869</v>
      </c>
      <c r="I140" s="114">
        <v>178738.3</v>
      </c>
      <c r="J140" s="114">
        <v>184766.5</v>
      </c>
      <c r="K140" s="114">
        <v>174585.3</v>
      </c>
      <c r="L140" s="114">
        <v>160893.79999999999</v>
      </c>
      <c r="M140" s="114">
        <v>164763.79999999999</v>
      </c>
      <c r="N140" s="114">
        <v>56919.9</v>
      </c>
      <c r="O140" s="114">
        <v>0</v>
      </c>
      <c r="P140" s="41">
        <v>0</v>
      </c>
      <c r="Q140" s="41">
        <v>0</v>
      </c>
      <c r="R140" s="41">
        <v>56127.15</v>
      </c>
      <c r="S140" s="41">
        <v>21013.730000000003</v>
      </c>
      <c r="T140" s="41">
        <v>20091.91</v>
      </c>
      <c r="U140" s="41">
        <v>20212.120000000003</v>
      </c>
      <c r="V140" s="41">
        <v>19504.63</v>
      </c>
      <c r="W140" s="41">
        <v>7008.26</v>
      </c>
      <c r="X140" s="36">
        <v>172869</v>
      </c>
      <c r="Y140" s="36">
        <v>178738.3</v>
      </c>
      <c r="Z140" s="36">
        <v>184766.5</v>
      </c>
      <c r="AA140" s="36">
        <v>174585.3</v>
      </c>
      <c r="AB140" s="36">
        <v>160893.79999999999</v>
      </c>
      <c r="AC140" s="36">
        <v>164763.79999999999</v>
      </c>
      <c r="AD140" s="36">
        <v>56919.9</v>
      </c>
      <c r="AE140" s="36">
        <v>0</v>
      </c>
    </row>
    <row r="141" spans="1:31" ht="15" customHeight="1" x14ac:dyDescent="0.25">
      <c r="A141" s="18">
        <v>5350</v>
      </c>
      <c r="B141" s="19">
        <v>8881</v>
      </c>
      <c r="C141" s="19" t="s">
        <v>271</v>
      </c>
      <c r="D141" s="19" t="s">
        <v>272</v>
      </c>
      <c r="E141" s="19" t="s">
        <v>26</v>
      </c>
      <c r="F141" s="19" t="s">
        <v>27</v>
      </c>
      <c r="G141" s="20" t="str">
        <f>IF(LEN(ElecLkUp[[#This Row],[Ledger Code]])&gt;3,"AR"&amp;ElecLkUp[[#This Row],[Ledger Code]],"TBC")</f>
        <v>AR8881</v>
      </c>
      <c r="H141" s="114">
        <v>279336.3</v>
      </c>
      <c r="I141" s="114">
        <v>282910</v>
      </c>
      <c r="J141" s="114">
        <v>296407.40000000002</v>
      </c>
      <c r="K141" s="114">
        <v>289673</v>
      </c>
      <c r="L141" s="114">
        <v>262235.7</v>
      </c>
      <c r="M141" s="114">
        <v>272059.90000000002</v>
      </c>
      <c r="N141" s="114">
        <v>98327.4</v>
      </c>
      <c r="O141" s="114">
        <v>0</v>
      </c>
      <c r="P141" s="41">
        <v>0</v>
      </c>
      <c r="Q141" s="41">
        <v>0</v>
      </c>
      <c r="R141" s="41">
        <v>90539.849999999977</v>
      </c>
      <c r="S141" s="41">
        <v>35237</v>
      </c>
      <c r="T141" s="41">
        <v>30504.82</v>
      </c>
      <c r="U141" s="41">
        <v>31938.490000000005</v>
      </c>
      <c r="V141" s="41">
        <v>33801.429999999993</v>
      </c>
      <c r="W141" s="41">
        <v>11479.620000000003</v>
      </c>
      <c r="X141" s="36">
        <v>279336.3</v>
      </c>
      <c r="Y141" s="36">
        <v>282910</v>
      </c>
      <c r="Z141" s="36">
        <v>296407.40000000002</v>
      </c>
      <c r="AA141" s="36">
        <v>289673</v>
      </c>
      <c r="AB141" s="36">
        <v>262235.7</v>
      </c>
      <c r="AC141" s="36">
        <v>272059.90000000002</v>
      </c>
      <c r="AD141" s="36">
        <v>98327.4</v>
      </c>
      <c r="AE141" s="36">
        <v>0</v>
      </c>
    </row>
    <row r="142" spans="1:31" ht="15" customHeight="1" x14ac:dyDescent="0.25">
      <c r="A142" s="18">
        <v>5356</v>
      </c>
      <c r="B142" s="19">
        <v>8888</v>
      </c>
      <c r="C142" s="19" t="s">
        <v>273</v>
      </c>
      <c r="D142" s="19" t="s">
        <v>274</v>
      </c>
      <c r="E142" s="19" t="s">
        <v>26</v>
      </c>
      <c r="F142" s="19" t="s">
        <v>27</v>
      </c>
      <c r="G142" s="20" t="str">
        <f>IF(LEN(ElecLkUp[[#This Row],[Ledger Code]])&gt;3,"AR"&amp;ElecLkUp[[#This Row],[Ledger Code]],"TBC")</f>
        <v>AR8888</v>
      </c>
      <c r="H142" s="114"/>
      <c r="I142" s="114"/>
      <c r="J142" s="114"/>
      <c r="K142" s="114"/>
      <c r="L142" s="114"/>
      <c r="M142" s="114"/>
      <c r="N142" s="114"/>
      <c r="O142" s="114"/>
      <c r="P142" s="41">
        <v>0</v>
      </c>
      <c r="Q142" s="41">
        <v>0</v>
      </c>
      <c r="R142" s="41">
        <v>0</v>
      </c>
      <c r="S142" s="41">
        <v>0</v>
      </c>
      <c r="T142" s="41">
        <v>0</v>
      </c>
      <c r="U142" s="41">
        <v>26916.13</v>
      </c>
      <c r="V142" s="41">
        <v>4490.7</v>
      </c>
      <c r="W142" s="41">
        <v>3461.2</v>
      </c>
      <c r="X142" s="36" t="s">
        <v>352</v>
      </c>
      <c r="Y142" s="36" t="s">
        <v>352</v>
      </c>
      <c r="Z142" s="36" t="s">
        <v>352</v>
      </c>
      <c r="AA142" s="36" t="s">
        <v>352</v>
      </c>
      <c r="AB142" s="36" t="s">
        <v>352</v>
      </c>
      <c r="AC142" s="36" t="s">
        <v>352</v>
      </c>
      <c r="AD142" s="36" t="s">
        <v>352</v>
      </c>
      <c r="AE142" s="36" t="s">
        <v>352</v>
      </c>
    </row>
    <row r="143" spans="1:31" ht="15" customHeight="1" x14ac:dyDescent="0.25">
      <c r="A143" s="18">
        <v>5385</v>
      </c>
      <c r="B143" s="19">
        <v>8852</v>
      </c>
      <c r="C143" s="19" t="s">
        <v>44</v>
      </c>
      <c r="D143" s="19" t="s">
        <v>275</v>
      </c>
      <c r="E143" s="19" t="s">
        <v>26</v>
      </c>
      <c r="F143" s="19" t="s">
        <v>27</v>
      </c>
      <c r="G143" s="20" t="str">
        <f>IF(LEN(ElecLkUp[[#This Row],[Ledger Code]])&gt;3,"AR"&amp;ElecLkUp[[#This Row],[Ledger Code]],"TBC")</f>
        <v>AR8852</v>
      </c>
      <c r="H143" s="114">
        <v>113453.3</v>
      </c>
      <c r="I143" s="114">
        <v>126724.9</v>
      </c>
      <c r="J143" s="114">
        <v>118684</v>
      </c>
      <c r="K143" s="114">
        <v>123415.7</v>
      </c>
      <c r="L143" s="114">
        <v>124278.39999999999</v>
      </c>
      <c r="M143" s="114">
        <v>130585</v>
      </c>
      <c r="N143" s="114">
        <v>45268.2</v>
      </c>
      <c r="O143" s="114">
        <v>0</v>
      </c>
      <c r="P143" s="41">
        <v>0</v>
      </c>
      <c r="Q143" s="41">
        <v>27838.120000000003</v>
      </c>
      <c r="R143" s="41">
        <v>16461.539999999997</v>
      </c>
      <c r="S143" s="41">
        <v>16337.130000000001</v>
      </c>
      <c r="T143" s="41">
        <v>16796.150000000001</v>
      </c>
      <c r="U143" s="41">
        <v>17205.019999999997</v>
      </c>
      <c r="V143" s="41">
        <v>17236.04</v>
      </c>
      <c r="W143" s="41">
        <v>6198.79</v>
      </c>
      <c r="X143" s="36">
        <v>113453.3</v>
      </c>
      <c r="Y143" s="36">
        <v>126724.9</v>
      </c>
      <c r="Z143" s="36">
        <v>118684</v>
      </c>
      <c r="AA143" s="36">
        <v>123415.7</v>
      </c>
      <c r="AB143" s="36">
        <v>124278.39999999999</v>
      </c>
      <c r="AC143" s="36">
        <v>130585</v>
      </c>
      <c r="AD143" s="36">
        <v>45268.2</v>
      </c>
      <c r="AE143" s="36">
        <v>0</v>
      </c>
    </row>
    <row r="144" spans="1:31" ht="15" customHeight="1" x14ac:dyDescent="0.25">
      <c r="A144" s="18">
        <v>5461</v>
      </c>
      <c r="B144" s="19">
        <v>5461</v>
      </c>
      <c r="C144" s="19" t="s">
        <v>331</v>
      </c>
      <c r="D144" s="19">
        <v>0</v>
      </c>
      <c r="E144" s="19" t="s">
        <v>57</v>
      </c>
      <c r="F144" s="19" t="s">
        <v>58</v>
      </c>
      <c r="G144" s="20" t="str">
        <f>IF(LEN(ElecLkUp[[#This Row],[Ledger Code]])&gt;3,"AR"&amp;ElecLkUp[[#This Row],[Ledger Code]],"TBC")</f>
        <v>AR5461</v>
      </c>
      <c r="H144" s="114"/>
      <c r="I144" s="114"/>
      <c r="J144" s="114"/>
      <c r="K144" s="114"/>
      <c r="L144" s="114"/>
      <c r="M144" s="114"/>
      <c r="N144" s="114"/>
      <c r="O144" s="114"/>
      <c r="P144" s="41">
        <v>0</v>
      </c>
      <c r="Q144" s="41">
        <v>0</v>
      </c>
      <c r="R144" s="41">
        <v>0</v>
      </c>
      <c r="S144" s="41">
        <v>0</v>
      </c>
      <c r="T144" s="41">
        <v>0</v>
      </c>
      <c r="U144" s="41">
        <v>0</v>
      </c>
      <c r="V144" s="41">
        <v>0</v>
      </c>
      <c r="W144" s="41">
        <v>0</v>
      </c>
      <c r="X144" s="36" t="s">
        <v>352</v>
      </c>
      <c r="Y144" s="36" t="s">
        <v>352</v>
      </c>
      <c r="Z144" s="36" t="s">
        <v>352</v>
      </c>
      <c r="AA144" s="36" t="s">
        <v>352</v>
      </c>
      <c r="AB144" s="36" t="s">
        <v>352</v>
      </c>
      <c r="AC144" s="36" t="s">
        <v>352</v>
      </c>
      <c r="AD144" s="36" t="s">
        <v>352</v>
      </c>
      <c r="AE144" s="36" t="s">
        <v>352</v>
      </c>
    </row>
    <row r="145" spans="1:31" ht="15" customHeight="1" x14ac:dyDescent="0.25">
      <c r="A145" s="18">
        <v>5579</v>
      </c>
      <c r="B145" s="19">
        <v>8675</v>
      </c>
      <c r="C145" s="19" t="s">
        <v>276</v>
      </c>
      <c r="D145" s="19" t="s">
        <v>277</v>
      </c>
      <c r="E145" s="19" t="s">
        <v>26</v>
      </c>
      <c r="F145" s="19" t="s">
        <v>278</v>
      </c>
      <c r="G145" s="20" t="str">
        <f>IF(LEN(ElecLkUp[[#This Row],[Ledger Code]])&gt;3,"AR"&amp;ElecLkUp[[#This Row],[Ledger Code]],"TBC")</f>
        <v>AR8675</v>
      </c>
      <c r="H145" s="114">
        <v>330851.5</v>
      </c>
      <c r="I145" s="114">
        <v>357067.4</v>
      </c>
      <c r="J145" s="114">
        <v>329893.7</v>
      </c>
      <c r="K145" s="114">
        <v>335071.40000000002</v>
      </c>
      <c r="L145" s="114">
        <v>333622.3</v>
      </c>
      <c r="M145" s="114">
        <v>360352.7</v>
      </c>
      <c r="N145" s="114">
        <v>131509.5</v>
      </c>
      <c r="O145" s="114">
        <v>9.9999999999999998E-20</v>
      </c>
      <c r="P145" s="41">
        <v>0</v>
      </c>
      <c r="Q145" s="41">
        <v>0</v>
      </c>
      <c r="R145" s="41">
        <v>113401.57</v>
      </c>
      <c r="S145" s="41">
        <v>40589.53</v>
      </c>
      <c r="T145" s="41">
        <v>40572.030000000013</v>
      </c>
      <c r="U145" s="41">
        <v>42527.43</v>
      </c>
      <c r="V145" s="41">
        <v>15119.53999999999</v>
      </c>
      <c r="W145" s="41">
        <v>-8667.1100000000552</v>
      </c>
      <c r="X145" s="36" t="s">
        <v>352</v>
      </c>
      <c r="Y145" s="36" t="s">
        <v>352</v>
      </c>
      <c r="Z145" s="36" t="s">
        <v>352</v>
      </c>
      <c r="AA145" s="36" t="s">
        <v>352</v>
      </c>
      <c r="AB145" s="36" t="s">
        <v>352</v>
      </c>
      <c r="AC145" s="36" t="s">
        <v>352</v>
      </c>
      <c r="AD145" s="36" t="s">
        <v>352</v>
      </c>
      <c r="AE145" s="36" t="s">
        <v>352</v>
      </c>
    </row>
    <row r="146" spans="1:31" ht="15" customHeight="1" x14ac:dyDescent="0.25">
      <c r="A146" s="18">
        <v>5584</v>
      </c>
      <c r="B146" s="19">
        <v>9061</v>
      </c>
      <c r="C146" s="19" t="s">
        <v>279</v>
      </c>
      <c r="D146" s="19" t="s">
        <v>280</v>
      </c>
      <c r="E146" s="19" t="s">
        <v>26</v>
      </c>
      <c r="F146" s="19" t="s">
        <v>278</v>
      </c>
      <c r="G146" s="20" t="str">
        <f>IF(LEN(ElecLkUp[[#This Row],[Ledger Code]])&gt;3,"AR"&amp;ElecLkUp[[#This Row],[Ledger Code]],"TBC")</f>
        <v>AR9061</v>
      </c>
      <c r="H146" s="114">
        <v>0</v>
      </c>
      <c r="I146" s="114">
        <v>34606</v>
      </c>
      <c r="J146" s="114">
        <v>26002</v>
      </c>
      <c r="K146" s="114">
        <v>19277</v>
      </c>
      <c r="L146" s="114">
        <v>19279</v>
      </c>
      <c r="M146" s="114">
        <v>21103</v>
      </c>
      <c r="N146" s="114">
        <v>-17104</v>
      </c>
      <c r="O146" s="114">
        <v>44904</v>
      </c>
      <c r="P146" s="41">
        <v>883.94</v>
      </c>
      <c r="Q146" s="41">
        <v>3387.8</v>
      </c>
      <c r="R146" s="41">
        <v>3034.3</v>
      </c>
      <c r="S146" s="41">
        <v>2334.4</v>
      </c>
      <c r="T146" s="41">
        <v>2380.6400000000003</v>
      </c>
      <c r="U146" s="41">
        <v>2634.7799999999997</v>
      </c>
      <c r="V146" s="41">
        <v>977.63999999999987</v>
      </c>
      <c r="W146" s="41">
        <v>3512.8499999999995</v>
      </c>
      <c r="X146" s="36">
        <v>0</v>
      </c>
      <c r="Y146" s="36">
        <v>34606</v>
      </c>
      <c r="Z146" s="36">
        <v>26002</v>
      </c>
      <c r="AA146" s="36">
        <v>19277</v>
      </c>
      <c r="AB146" s="36">
        <v>19279</v>
      </c>
      <c r="AC146" s="36">
        <v>21103</v>
      </c>
      <c r="AD146" s="36">
        <v>184865</v>
      </c>
      <c r="AE146" s="36">
        <v>218631</v>
      </c>
    </row>
    <row r="147" spans="1:31" ht="15" customHeight="1" x14ac:dyDescent="0.25">
      <c r="A147" s="18">
        <v>5608</v>
      </c>
      <c r="B147" s="19">
        <v>9083</v>
      </c>
      <c r="C147" s="19" t="s">
        <v>281</v>
      </c>
      <c r="D147" s="19" t="s">
        <v>282</v>
      </c>
      <c r="E147" s="19" t="s">
        <v>26</v>
      </c>
      <c r="F147" s="19" t="s">
        <v>278</v>
      </c>
      <c r="G147" s="20" t="str">
        <f>IF(LEN(ElecLkUp[[#This Row],[Ledger Code]])&gt;3,"AR"&amp;ElecLkUp[[#This Row],[Ledger Code]],"TBC")</f>
        <v>AR9083</v>
      </c>
      <c r="H147" s="114">
        <v>0</v>
      </c>
      <c r="I147" s="114">
        <v>30855</v>
      </c>
      <c r="J147" s="114">
        <v>22156</v>
      </c>
      <c r="K147" s="114">
        <v>14665</v>
      </c>
      <c r="L147" s="114">
        <v>17806</v>
      </c>
      <c r="M147" s="114">
        <v>20376</v>
      </c>
      <c r="N147" s="114">
        <v>6892</v>
      </c>
      <c r="O147" s="114">
        <v>19207</v>
      </c>
      <c r="P147" s="41">
        <v>3276.3099999999995</v>
      </c>
      <c r="Q147" s="41">
        <v>11127.079999999998</v>
      </c>
      <c r="R147" s="41">
        <v>9496.6600000000071</v>
      </c>
      <c r="S147" s="41">
        <v>7786.0300000000007</v>
      </c>
      <c r="T147" s="41">
        <v>8034.7599999999929</v>
      </c>
      <c r="U147" s="41">
        <v>9671.2199999999993</v>
      </c>
      <c r="V147" s="41">
        <v>6725.2200000000021</v>
      </c>
      <c r="W147" s="41">
        <v>7584.0100000000011</v>
      </c>
      <c r="X147" s="36">
        <v>0</v>
      </c>
      <c r="Y147" s="36">
        <v>30855</v>
      </c>
      <c r="Z147" s="36">
        <v>22156</v>
      </c>
      <c r="AA147" s="36">
        <v>14665</v>
      </c>
      <c r="AB147" s="36">
        <v>17806</v>
      </c>
      <c r="AC147" s="36">
        <v>20376</v>
      </c>
      <c r="AD147" s="36">
        <v>208861</v>
      </c>
      <c r="AE147" s="36">
        <v>192934</v>
      </c>
    </row>
    <row r="148" spans="1:31" ht="15" customHeight="1" x14ac:dyDescent="0.25">
      <c r="A148" s="18">
        <v>5611</v>
      </c>
      <c r="B148" s="19">
        <v>9086</v>
      </c>
      <c r="C148" s="19" t="s">
        <v>283</v>
      </c>
      <c r="D148" s="19" t="s">
        <v>284</v>
      </c>
      <c r="E148" s="19" t="s">
        <v>26</v>
      </c>
      <c r="F148" s="19" t="s">
        <v>278</v>
      </c>
      <c r="G148" s="20" t="str">
        <f>IF(LEN(ElecLkUp[[#This Row],[Ledger Code]])&gt;3,"AR"&amp;ElecLkUp[[#This Row],[Ledger Code]],"TBC")</f>
        <v>AR9086</v>
      </c>
      <c r="H148" s="114">
        <v>0</v>
      </c>
      <c r="I148" s="114">
        <v>6349</v>
      </c>
      <c r="J148" s="114">
        <v>2622</v>
      </c>
      <c r="K148" s="114">
        <v>4528</v>
      </c>
      <c r="L148" s="114">
        <v>3870</v>
      </c>
      <c r="M148" s="114">
        <v>3395</v>
      </c>
      <c r="N148" s="114">
        <v>2183</v>
      </c>
      <c r="O148" s="114">
        <v>2565</v>
      </c>
      <c r="P148" s="41">
        <v>177.12</v>
      </c>
      <c r="Q148" s="41">
        <v>671.48</v>
      </c>
      <c r="R148" s="41">
        <v>524.59</v>
      </c>
      <c r="S148" s="41">
        <v>377.86999999999995</v>
      </c>
      <c r="T148" s="41">
        <v>501.8900000000001</v>
      </c>
      <c r="U148" s="41">
        <v>421.16000000000008</v>
      </c>
      <c r="V148" s="41">
        <v>416.04999999999995</v>
      </c>
      <c r="W148" s="41">
        <v>264.37</v>
      </c>
      <c r="X148" s="36">
        <v>0</v>
      </c>
      <c r="Y148" s="36">
        <v>6349</v>
      </c>
      <c r="Z148" s="36">
        <v>2622</v>
      </c>
      <c r="AA148" s="36">
        <v>4528</v>
      </c>
      <c r="AB148" s="36">
        <v>3870</v>
      </c>
      <c r="AC148" s="36">
        <v>3395</v>
      </c>
      <c r="AD148" s="36">
        <v>204152</v>
      </c>
      <c r="AE148" s="36">
        <v>176292</v>
      </c>
    </row>
    <row r="149" spans="1:31" ht="15" customHeight="1" x14ac:dyDescent="0.25">
      <c r="A149" s="18">
        <v>5659</v>
      </c>
      <c r="B149" s="19">
        <v>9000</v>
      </c>
      <c r="C149" s="19" t="s">
        <v>285</v>
      </c>
      <c r="D149" s="19" t="s">
        <v>286</v>
      </c>
      <c r="E149" s="19" t="s">
        <v>26</v>
      </c>
      <c r="F149" s="19" t="s">
        <v>278</v>
      </c>
      <c r="G149" s="20" t="str">
        <f>IF(LEN(ElecLkUp[[#This Row],[Ledger Code]])&gt;3,"AR"&amp;ElecLkUp[[#This Row],[Ledger Code]],"TBC")</f>
        <v>AR9000</v>
      </c>
      <c r="H149" s="114">
        <v>80931.199999999997</v>
      </c>
      <c r="I149" s="114">
        <v>82676.800000000003</v>
      </c>
      <c r="J149" s="114">
        <v>84286.8</v>
      </c>
      <c r="K149" s="114">
        <v>81954.399999999994</v>
      </c>
      <c r="L149" s="114">
        <v>82827</v>
      </c>
      <c r="M149" s="114">
        <v>82222.5</v>
      </c>
      <c r="N149" s="114">
        <v>29022.3</v>
      </c>
      <c r="O149" s="114">
        <v>0</v>
      </c>
      <c r="P149" s="41">
        <v>0</v>
      </c>
      <c r="Q149" s="41">
        <v>18049</v>
      </c>
      <c r="R149" s="41">
        <v>11165.210000000001</v>
      </c>
      <c r="S149" s="41">
        <v>10604.23</v>
      </c>
      <c r="T149" s="41">
        <v>10292.869999999999</v>
      </c>
      <c r="U149" s="41">
        <v>10471.710000000001</v>
      </c>
      <c r="V149" s="41">
        <v>10613.82</v>
      </c>
      <c r="W149" s="41">
        <v>3346.09</v>
      </c>
      <c r="X149" s="36">
        <v>80931.199999999997</v>
      </c>
      <c r="Y149" s="36">
        <v>82676.800000000003</v>
      </c>
      <c r="Z149" s="36">
        <v>84286.8</v>
      </c>
      <c r="AA149" s="36">
        <v>81954.399999999994</v>
      </c>
      <c r="AB149" s="36">
        <v>82827</v>
      </c>
      <c r="AC149" s="36">
        <v>82222.5</v>
      </c>
      <c r="AD149" s="36">
        <v>29022.3</v>
      </c>
      <c r="AE149" s="36">
        <v>0</v>
      </c>
    </row>
    <row r="150" spans="1:31" ht="15" customHeight="1" x14ac:dyDescent="0.25">
      <c r="A150" s="18">
        <v>5669</v>
      </c>
      <c r="B150" s="19">
        <v>4456</v>
      </c>
      <c r="C150" s="19" t="s">
        <v>287</v>
      </c>
      <c r="D150" s="19" t="s">
        <v>288</v>
      </c>
      <c r="E150" s="19" t="s">
        <v>57</v>
      </c>
      <c r="F150" s="19" t="s">
        <v>233</v>
      </c>
      <c r="G150" s="20" t="str">
        <f>IF(LEN(ElecLkUp[[#This Row],[Ledger Code]])&gt;3,"AR"&amp;ElecLkUp[[#This Row],[Ledger Code]],"TBC")</f>
        <v>AR4456</v>
      </c>
      <c r="H150" s="114">
        <v>297547.90000000002</v>
      </c>
      <c r="I150" s="114">
        <v>314883.5</v>
      </c>
      <c r="J150" s="114">
        <v>299442.40000000002</v>
      </c>
      <c r="K150" s="114">
        <v>293897</v>
      </c>
      <c r="L150" s="114">
        <v>295150.90000000002</v>
      </c>
      <c r="M150" s="114">
        <v>301770.3</v>
      </c>
      <c r="N150" s="114">
        <v>101867.1</v>
      </c>
      <c r="O150" s="114">
        <v>0</v>
      </c>
      <c r="P150" s="41">
        <v>0</v>
      </c>
      <c r="Q150" s="41">
        <v>60762.259999999995</v>
      </c>
      <c r="R150" s="41">
        <v>35849.21</v>
      </c>
      <c r="S150" s="41">
        <v>35218.620000000003</v>
      </c>
      <c r="T150" s="41">
        <v>36419.550000000003</v>
      </c>
      <c r="U150" s="41">
        <v>35726.230000000003</v>
      </c>
      <c r="V150" s="41">
        <v>35805.730000000003</v>
      </c>
      <c r="W150" s="41">
        <v>12105.559999999992</v>
      </c>
      <c r="X150" s="36">
        <v>297547.90000000002</v>
      </c>
      <c r="Y150" s="36">
        <v>314883.5</v>
      </c>
      <c r="Z150" s="36">
        <v>299442.40000000002</v>
      </c>
      <c r="AA150" s="36">
        <v>293897</v>
      </c>
      <c r="AB150" s="36">
        <v>295150.90000000002</v>
      </c>
      <c r="AC150" s="36">
        <v>301770.3</v>
      </c>
      <c r="AD150" s="36">
        <v>101867.1</v>
      </c>
      <c r="AE150" s="36">
        <v>0</v>
      </c>
    </row>
    <row r="151" spans="1:31" ht="15" customHeight="1" x14ac:dyDescent="0.25">
      <c r="A151" s="18">
        <v>5670</v>
      </c>
      <c r="B151" s="19">
        <v>4456</v>
      </c>
      <c r="C151" s="19" t="s">
        <v>289</v>
      </c>
      <c r="D151" s="19" t="s">
        <v>288</v>
      </c>
      <c r="E151" s="19" t="s">
        <v>57</v>
      </c>
      <c r="F151" s="19" t="s">
        <v>233</v>
      </c>
      <c r="G151" s="20" t="str">
        <f>IF(LEN(ElecLkUp[[#This Row],[Ledger Code]])&gt;3,"AR"&amp;ElecLkUp[[#This Row],[Ledger Code]],"TBC")</f>
        <v>AR4456</v>
      </c>
      <c r="H151" s="114">
        <v>297547.90000000002</v>
      </c>
      <c r="I151" s="114">
        <v>314883.5</v>
      </c>
      <c r="J151" s="114">
        <v>299442.40000000002</v>
      </c>
      <c r="K151" s="114">
        <v>293897</v>
      </c>
      <c r="L151" s="114">
        <v>295150.90000000002</v>
      </c>
      <c r="M151" s="114">
        <v>301770.3</v>
      </c>
      <c r="N151" s="114">
        <v>101867.1</v>
      </c>
      <c r="O151" s="114">
        <v>0</v>
      </c>
      <c r="P151" s="41">
        <v>0</v>
      </c>
      <c r="Q151" s="41">
        <v>60762.259999999995</v>
      </c>
      <c r="R151" s="41">
        <v>35849.21</v>
      </c>
      <c r="S151" s="41">
        <v>35218.620000000003</v>
      </c>
      <c r="T151" s="41">
        <v>36419.550000000003</v>
      </c>
      <c r="U151" s="41">
        <v>35726.230000000003</v>
      </c>
      <c r="V151" s="41">
        <v>35805.730000000003</v>
      </c>
      <c r="W151" s="41">
        <v>12105.559999999992</v>
      </c>
      <c r="X151" s="36">
        <v>297547.90000000002</v>
      </c>
      <c r="Y151" s="36">
        <v>314883.5</v>
      </c>
      <c r="Z151" s="36">
        <v>299442.40000000002</v>
      </c>
      <c r="AA151" s="36">
        <v>293897</v>
      </c>
      <c r="AB151" s="36">
        <v>295150.90000000002</v>
      </c>
      <c r="AC151" s="36">
        <v>301770.3</v>
      </c>
      <c r="AD151" s="36">
        <v>101867.1</v>
      </c>
      <c r="AE151" s="36">
        <v>0</v>
      </c>
    </row>
    <row r="152" spans="1:31" ht="15" customHeight="1" x14ac:dyDescent="0.25">
      <c r="A152" s="18">
        <v>5671</v>
      </c>
      <c r="B152" s="19">
        <v>4456</v>
      </c>
      <c r="C152" s="19" t="s">
        <v>290</v>
      </c>
      <c r="D152" s="19" t="s">
        <v>288</v>
      </c>
      <c r="E152" s="19" t="s">
        <v>57</v>
      </c>
      <c r="F152" s="19" t="s">
        <v>233</v>
      </c>
      <c r="G152" s="20" t="str">
        <f>IF(LEN(ElecLkUp[[#This Row],[Ledger Code]])&gt;3,"AR"&amp;ElecLkUp[[#This Row],[Ledger Code]],"TBC")</f>
        <v>AR4456</v>
      </c>
      <c r="H152" s="114">
        <v>297547.90000000002</v>
      </c>
      <c r="I152" s="114">
        <v>314883.5</v>
      </c>
      <c r="J152" s="114">
        <v>299442.40000000002</v>
      </c>
      <c r="K152" s="114">
        <v>293897</v>
      </c>
      <c r="L152" s="114">
        <v>295150.90000000002</v>
      </c>
      <c r="M152" s="114">
        <v>301770.3</v>
      </c>
      <c r="N152" s="114">
        <v>101867.1</v>
      </c>
      <c r="O152" s="114">
        <v>0</v>
      </c>
      <c r="P152" s="41">
        <v>0</v>
      </c>
      <c r="Q152" s="41">
        <v>60762.259999999995</v>
      </c>
      <c r="R152" s="41">
        <v>35849.21</v>
      </c>
      <c r="S152" s="41">
        <v>35218.620000000003</v>
      </c>
      <c r="T152" s="41">
        <v>36419.550000000003</v>
      </c>
      <c r="U152" s="41">
        <v>35726.230000000003</v>
      </c>
      <c r="V152" s="41">
        <v>35805.730000000003</v>
      </c>
      <c r="W152" s="41">
        <v>12105.559999999992</v>
      </c>
      <c r="X152" s="36">
        <v>297547.90000000002</v>
      </c>
      <c r="Y152" s="36">
        <v>314883.5</v>
      </c>
      <c r="Z152" s="36">
        <v>299442.40000000002</v>
      </c>
      <c r="AA152" s="36">
        <v>293897</v>
      </c>
      <c r="AB152" s="36">
        <v>295150.90000000002</v>
      </c>
      <c r="AC152" s="36">
        <v>301770.3</v>
      </c>
      <c r="AD152" s="36">
        <v>101867.1</v>
      </c>
      <c r="AE152" s="36">
        <v>0</v>
      </c>
    </row>
    <row r="153" spans="1:31" ht="15" customHeight="1" x14ac:dyDescent="0.25">
      <c r="A153" s="18">
        <v>5672</v>
      </c>
      <c r="B153" s="19">
        <v>4456</v>
      </c>
      <c r="C153" s="19" t="s">
        <v>291</v>
      </c>
      <c r="D153" s="19" t="s">
        <v>288</v>
      </c>
      <c r="E153" s="19" t="s">
        <v>57</v>
      </c>
      <c r="F153" s="19" t="s">
        <v>233</v>
      </c>
      <c r="G153" s="20" t="str">
        <f>IF(LEN(ElecLkUp[[#This Row],[Ledger Code]])&gt;3,"AR"&amp;ElecLkUp[[#This Row],[Ledger Code]],"TBC")</f>
        <v>AR4456</v>
      </c>
      <c r="H153" s="114">
        <v>297547.90000000002</v>
      </c>
      <c r="I153" s="114">
        <v>314883.5</v>
      </c>
      <c r="J153" s="114">
        <v>299442.40000000002</v>
      </c>
      <c r="K153" s="114">
        <v>293897</v>
      </c>
      <c r="L153" s="114">
        <v>295150.90000000002</v>
      </c>
      <c r="M153" s="114">
        <v>301770.3</v>
      </c>
      <c r="N153" s="114">
        <v>101867.1</v>
      </c>
      <c r="O153" s="114">
        <v>0</v>
      </c>
      <c r="P153" s="41">
        <v>0</v>
      </c>
      <c r="Q153" s="41">
        <v>60762.259999999995</v>
      </c>
      <c r="R153" s="41">
        <v>35849.21</v>
      </c>
      <c r="S153" s="41">
        <v>35218.620000000003</v>
      </c>
      <c r="T153" s="41">
        <v>36419.550000000003</v>
      </c>
      <c r="U153" s="41">
        <v>35726.230000000003</v>
      </c>
      <c r="V153" s="41">
        <v>35805.730000000003</v>
      </c>
      <c r="W153" s="41">
        <v>12105.559999999992</v>
      </c>
      <c r="X153" s="36">
        <v>297547.90000000002</v>
      </c>
      <c r="Y153" s="36">
        <v>314883.5</v>
      </c>
      <c r="Z153" s="36">
        <v>299442.40000000002</v>
      </c>
      <c r="AA153" s="36">
        <v>293897</v>
      </c>
      <c r="AB153" s="36">
        <v>295150.90000000002</v>
      </c>
      <c r="AC153" s="36">
        <v>301770.3</v>
      </c>
      <c r="AD153" s="36">
        <v>101867.1</v>
      </c>
      <c r="AE153" s="36">
        <v>0</v>
      </c>
    </row>
    <row r="154" spans="1:31" ht="15" customHeight="1" x14ac:dyDescent="0.25">
      <c r="A154" s="18">
        <v>5696</v>
      </c>
      <c r="B154" s="19">
        <v>4508</v>
      </c>
      <c r="C154" s="19" t="s">
        <v>292</v>
      </c>
      <c r="D154" s="19" t="s">
        <v>293</v>
      </c>
      <c r="E154" s="19" t="s">
        <v>57</v>
      </c>
      <c r="F154" s="19" t="s">
        <v>233</v>
      </c>
      <c r="G154" s="20" t="str">
        <f>IF(LEN(ElecLkUp[[#This Row],[Ledger Code]])&gt;3,"AR"&amp;ElecLkUp[[#This Row],[Ledger Code]],"TBC")</f>
        <v>AR4508</v>
      </c>
      <c r="H154" s="114"/>
      <c r="I154" s="114"/>
      <c r="J154" s="114"/>
      <c r="K154" s="114"/>
      <c r="L154" s="114"/>
      <c r="M154" s="114"/>
      <c r="N154" s="114"/>
      <c r="O154" s="114"/>
      <c r="P154" s="41">
        <v>4904.3599999999997</v>
      </c>
      <c r="Q154" s="41">
        <v>14036.579999999998</v>
      </c>
      <c r="R154" s="41">
        <v>-14463.009999999995</v>
      </c>
      <c r="S154" s="41">
        <v>8975.7999999999993</v>
      </c>
      <c r="T154" s="41">
        <v>-606.41000000000258</v>
      </c>
      <c r="U154" s="41">
        <v>3982.21</v>
      </c>
      <c r="V154" s="41">
        <v>-16829.53</v>
      </c>
      <c r="W154" s="41">
        <v>0</v>
      </c>
      <c r="X154" s="36" t="s">
        <v>352</v>
      </c>
      <c r="Y154" s="36" t="s">
        <v>352</v>
      </c>
      <c r="Z154" s="36" t="s">
        <v>352</v>
      </c>
      <c r="AA154" s="36" t="s">
        <v>352</v>
      </c>
      <c r="AB154" s="36" t="s">
        <v>352</v>
      </c>
      <c r="AC154" s="36" t="s">
        <v>352</v>
      </c>
      <c r="AD154" s="36" t="s">
        <v>352</v>
      </c>
      <c r="AE154" s="36" t="s">
        <v>352</v>
      </c>
    </row>
    <row r="155" spans="1:31" ht="15" customHeight="1" x14ac:dyDescent="0.25">
      <c r="A155" s="18">
        <v>5699</v>
      </c>
      <c r="B155" s="19">
        <v>4571</v>
      </c>
      <c r="C155" s="19" t="s">
        <v>294</v>
      </c>
      <c r="D155" s="19" t="s">
        <v>295</v>
      </c>
      <c r="E155" s="19" t="s">
        <v>57</v>
      </c>
      <c r="F155" s="19" t="s">
        <v>233</v>
      </c>
      <c r="G155" s="20" t="str">
        <f>IF(LEN(ElecLkUp[[#This Row],[Ledger Code]])&gt;3,"AR"&amp;ElecLkUp[[#This Row],[Ledger Code]],"TBC")</f>
        <v>AR4571</v>
      </c>
      <c r="H155" s="114"/>
      <c r="I155" s="114"/>
      <c r="J155" s="114"/>
      <c r="K155" s="114"/>
      <c r="L155" s="114"/>
      <c r="M155" s="114"/>
      <c r="N155" s="114"/>
      <c r="O155" s="114"/>
      <c r="P155" s="41">
        <v>0</v>
      </c>
      <c r="Q155" s="41">
        <v>0</v>
      </c>
      <c r="R155" s="41">
        <v>0</v>
      </c>
      <c r="S155" s="41">
        <v>3269.0099999999993</v>
      </c>
      <c r="T155" s="41">
        <v>4997.51</v>
      </c>
      <c r="U155" s="41">
        <v>1034.44</v>
      </c>
      <c r="V155" s="41">
        <v>0</v>
      </c>
      <c r="W155" s="41">
        <v>0</v>
      </c>
      <c r="X155" s="36" t="s">
        <v>352</v>
      </c>
      <c r="Y155" s="36" t="s">
        <v>352</v>
      </c>
      <c r="Z155" s="36" t="s">
        <v>352</v>
      </c>
      <c r="AA155" s="36" t="s">
        <v>352</v>
      </c>
      <c r="AB155" s="36" t="s">
        <v>352</v>
      </c>
      <c r="AC155" s="36" t="s">
        <v>352</v>
      </c>
      <c r="AD155" s="36" t="s">
        <v>352</v>
      </c>
      <c r="AE155" s="36" t="s">
        <v>352</v>
      </c>
    </row>
    <row r="156" spans="1:31" ht="15" customHeight="1" x14ac:dyDescent="0.25">
      <c r="A156" s="18">
        <v>5761</v>
      </c>
      <c r="B156" s="19">
        <v>4468</v>
      </c>
      <c r="C156" s="19" t="s">
        <v>296</v>
      </c>
      <c r="D156" s="19" t="s">
        <v>297</v>
      </c>
      <c r="E156" s="19" t="s">
        <v>57</v>
      </c>
      <c r="F156" s="19" t="s">
        <v>233</v>
      </c>
      <c r="G156" s="20" t="str">
        <f>IF(LEN(ElecLkUp[[#This Row],[Ledger Code]])&gt;3,"AR"&amp;ElecLkUp[[#This Row],[Ledger Code]],"TBC")</f>
        <v>AR4468</v>
      </c>
      <c r="H156" s="114">
        <v>0</v>
      </c>
      <c r="I156" s="114">
        <v>12170</v>
      </c>
      <c r="J156" s="114">
        <v>8430</v>
      </c>
      <c r="K156" s="114">
        <v>9676</v>
      </c>
      <c r="L156" s="114">
        <v>7371</v>
      </c>
      <c r="M156" s="114">
        <v>6299</v>
      </c>
      <c r="N156" s="114">
        <v>4101</v>
      </c>
      <c r="O156" s="114">
        <v>8531</v>
      </c>
      <c r="P156" s="41">
        <v>0</v>
      </c>
      <c r="Q156" s="41">
        <v>1739.9899999999998</v>
      </c>
      <c r="R156" s="41">
        <v>920.98000000000025</v>
      </c>
      <c r="S156" s="41">
        <v>1220.8799999999999</v>
      </c>
      <c r="T156" s="41">
        <v>995.1400000000001</v>
      </c>
      <c r="U156" s="41">
        <v>887.28</v>
      </c>
      <c r="V156" s="41">
        <v>928.71</v>
      </c>
      <c r="W156" s="41">
        <v>702.31</v>
      </c>
      <c r="X156" s="36">
        <v>0</v>
      </c>
      <c r="Y156" s="36">
        <v>12170</v>
      </c>
      <c r="Z156" s="36">
        <v>8430</v>
      </c>
      <c r="AA156" s="36">
        <v>9676</v>
      </c>
      <c r="AB156" s="36">
        <v>7371</v>
      </c>
      <c r="AC156" s="36">
        <v>6299</v>
      </c>
      <c r="AD156" s="36">
        <v>206070</v>
      </c>
      <c r="AE156" s="36">
        <v>182258</v>
      </c>
    </row>
    <row r="157" spans="1:31" ht="15" customHeight="1" x14ac:dyDescent="0.25">
      <c r="A157" s="18">
        <v>5806</v>
      </c>
      <c r="B157" s="19">
        <v>4508</v>
      </c>
      <c r="C157" s="19" t="s">
        <v>298</v>
      </c>
      <c r="D157" s="19" t="s">
        <v>293</v>
      </c>
      <c r="E157" s="19" t="s">
        <v>57</v>
      </c>
      <c r="F157" s="19" t="s">
        <v>233</v>
      </c>
      <c r="G157" s="20" t="str">
        <f>IF(LEN(ElecLkUp[[#This Row],[Ledger Code]])&gt;3,"AR"&amp;ElecLkUp[[#This Row],[Ledger Code]],"TBC")</f>
        <v>AR4508</v>
      </c>
      <c r="H157" s="114"/>
      <c r="I157" s="114"/>
      <c r="J157" s="114"/>
      <c r="K157" s="114"/>
      <c r="L157" s="114"/>
      <c r="M157" s="114"/>
      <c r="N157" s="114"/>
      <c r="O157" s="114"/>
      <c r="P157" s="41">
        <v>4904.3599999999997</v>
      </c>
      <c r="Q157" s="41">
        <v>14036.579999999998</v>
      </c>
      <c r="R157" s="41">
        <v>-14463.009999999995</v>
      </c>
      <c r="S157" s="41">
        <v>8975.7999999999993</v>
      </c>
      <c r="T157" s="41">
        <v>-606.41000000000258</v>
      </c>
      <c r="U157" s="41">
        <v>3982.21</v>
      </c>
      <c r="V157" s="41">
        <v>-16829.53</v>
      </c>
      <c r="W157" s="41">
        <v>0</v>
      </c>
      <c r="X157" s="36" t="s">
        <v>352</v>
      </c>
      <c r="Y157" s="36" t="s">
        <v>352</v>
      </c>
      <c r="Z157" s="36" t="s">
        <v>352</v>
      </c>
      <c r="AA157" s="36" t="s">
        <v>352</v>
      </c>
      <c r="AB157" s="36" t="s">
        <v>352</v>
      </c>
      <c r="AC157" s="36" t="s">
        <v>352</v>
      </c>
      <c r="AD157" s="36" t="s">
        <v>352</v>
      </c>
      <c r="AE157" s="36" t="s">
        <v>352</v>
      </c>
    </row>
    <row r="158" spans="1:31" ht="15" customHeight="1" x14ac:dyDescent="0.25">
      <c r="A158" s="18">
        <v>5851</v>
      </c>
      <c r="B158" s="19">
        <v>4544</v>
      </c>
      <c r="C158" s="19" t="s">
        <v>318</v>
      </c>
      <c r="D158" s="19" t="s">
        <v>319</v>
      </c>
      <c r="E158" s="19" t="s">
        <v>57</v>
      </c>
      <c r="F158" s="19" t="s">
        <v>233</v>
      </c>
      <c r="G158" s="20" t="str">
        <f>IF(LEN(ElecLkUp[[#This Row],[Ledger Code]])&gt;3,"AR"&amp;ElecLkUp[[#This Row],[Ledger Code]],"TBC")</f>
        <v>AR4544</v>
      </c>
      <c r="H158" s="114"/>
      <c r="I158" s="114"/>
      <c r="J158" s="114"/>
      <c r="K158" s="114"/>
      <c r="L158" s="114"/>
      <c r="M158" s="114"/>
      <c r="N158" s="114"/>
      <c r="O158" s="114"/>
      <c r="P158" s="41">
        <v>0</v>
      </c>
      <c r="Q158" s="41">
        <v>9.0949470177292824E-13</v>
      </c>
      <c r="R158" s="41">
        <v>31768.240000000005</v>
      </c>
      <c r="S158" s="41">
        <v>18066.820000000003</v>
      </c>
      <c r="T158" s="41">
        <v>2688.63</v>
      </c>
      <c r="U158" s="41">
        <v>7285.7900000000009</v>
      </c>
      <c r="V158" s="41">
        <v>10085.98</v>
      </c>
      <c r="W158" s="41">
        <v>10739.44</v>
      </c>
      <c r="X158" s="36" t="s">
        <v>352</v>
      </c>
      <c r="Y158" s="36" t="s">
        <v>352</v>
      </c>
      <c r="Z158" s="36" t="s">
        <v>352</v>
      </c>
      <c r="AA158" s="36" t="s">
        <v>352</v>
      </c>
      <c r="AB158" s="36" t="s">
        <v>352</v>
      </c>
      <c r="AC158" s="36" t="s">
        <v>352</v>
      </c>
      <c r="AD158" s="36" t="s">
        <v>352</v>
      </c>
      <c r="AE158" s="36" t="s">
        <v>352</v>
      </c>
    </row>
    <row r="159" spans="1:31" ht="15" customHeight="1" x14ac:dyDescent="0.25">
      <c r="A159" s="18">
        <v>5882</v>
      </c>
      <c r="B159" s="19">
        <v>9495</v>
      </c>
      <c r="C159" s="19" t="s">
        <v>299</v>
      </c>
      <c r="D159" s="19" t="s">
        <v>300</v>
      </c>
      <c r="E159" s="19" t="s">
        <v>26</v>
      </c>
      <c r="F159" s="19" t="s">
        <v>48</v>
      </c>
      <c r="G159" s="20" t="str">
        <f>IF(LEN(ElecLkUp[[#This Row],[Ledger Code]])&gt;3,"AR"&amp;ElecLkUp[[#This Row],[Ledger Code]],"TBC")</f>
        <v>AR9495</v>
      </c>
      <c r="H159" s="114">
        <v>92856.4</v>
      </c>
      <c r="I159" s="114">
        <v>96651.7</v>
      </c>
      <c r="J159" s="114">
        <v>100325.4</v>
      </c>
      <c r="K159" s="114">
        <v>98723.9</v>
      </c>
      <c r="L159" s="114">
        <v>93282.1</v>
      </c>
      <c r="M159" s="114">
        <v>96895.2</v>
      </c>
      <c r="N159" s="114">
        <v>33274.300000000003</v>
      </c>
      <c r="O159" s="114">
        <v>0</v>
      </c>
      <c r="P159" s="41">
        <v>0</v>
      </c>
      <c r="Q159" s="41">
        <v>23315.91</v>
      </c>
      <c r="R159" s="41">
        <v>14364.22</v>
      </c>
      <c r="S159" s="41">
        <v>14394.69</v>
      </c>
      <c r="T159" s="41">
        <v>13224.170000000002</v>
      </c>
      <c r="U159" s="41">
        <v>14260.029999999999</v>
      </c>
      <c r="V159" s="41">
        <v>19117.399999999998</v>
      </c>
      <c r="W159" s="41">
        <v>291.55000000000018</v>
      </c>
      <c r="X159" s="36">
        <v>92856.4</v>
      </c>
      <c r="Y159" s="36">
        <v>96651.7</v>
      </c>
      <c r="Z159" s="36">
        <v>100325.4</v>
      </c>
      <c r="AA159" s="36">
        <v>98723.9</v>
      </c>
      <c r="AB159" s="36">
        <v>93282.1</v>
      </c>
      <c r="AC159" s="36">
        <v>96895.2</v>
      </c>
      <c r="AD159" s="36">
        <v>33274.300000000003</v>
      </c>
      <c r="AE159" s="36">
        <v>0</v>
      </c>
    </row>
    <row r="160" spans="1:31" ht="15" customHeight="1" x14ac:dyDescent="0.25">
      <c r="A160" s="18">
        <v>5895</v>
      </c>
      <c r="B160" s="19">
        <v>9460</v>
      </c>
      <c r="C160" s="19" t="s">
        <v>301</v>
      </c>
      <c r="D160" s="19" t="s">
        <v>302</v>
      </c>
      <c r="E160" s="19" t="s">
        <v>9</v>
      </c>
      <c r="F160" s="19" t="s">
        <v>98</v>
      </c>
      <c r="G160" s="20" t="str">
        <f>IF(LEN(ElecLkUp[[#This Row],[Ledger Code]])&gt;3,"AR"&amp;ElecLkUp[[#This Row],[Ledger Code]],"TBC")</f>
        <v>AR9460</v>
      </c>
      <c r="H160" s="114"/>
      <c r="I160" s="114"/>
      <c r="J160" s="114"/>
      <c r="K160" s="114"/>
      <c r="L160" s="114"/>
      <c r="M160" s="114"/>
      <c r="N160" s="114"/>
      <c r="O160" s="114"/>
      <c r="P160" s="41">
        <v>370.84</v>
      </c>
      <c r="Q160" s="41">
        <v>56002.86</v>
      </c>
      <c r="R160" s="41">
        <v>21300.239999999998</v>
      </c>
      <c r="S160" s="41">
        <v>37167.74</v>
      </c>
      <c r="T160" s="41">
        <v>30287.69</v>
      </c>
      <c r="U160" s="41">
        <v>21949.49</v>
      </c>
      <c r="V160" s="41">
        <v>23322.730000000003</v>
      </c>
      <c r="W160" s="41">
        <v>22802.319999999996</v>
      </c>
      <c r="X160" s="36" t="s">
        <v>352</v>
      </c>
      <c r="Y160" s="36" t="s">
        <v>352</v>
      </c>
      <c r="Z160" s="36" t="s">
        <v>352</v>
      </c>
      <c r="AA160" s="36" t="s">
        <v>352</v>
      </c>
      <c r="AB160" s="36" t="s">
        <v>352</v>
      </c>
      <c r="AC160" s="36" t="s">
        <v>352</v>
      </c>
      <c r="AD160" s="36" t="s">
        <v>352</v>
      </c>
      <c r="AE160" s="36" t="s">
        <v>352</v>
      </c>
    </row>
    <row r="161" spans="1:31" ht="15" customHeight="1" x14ac:dyDescent="0.25">
      <c r="A161" s="18">
        <v>5896</v>
      </c>
      <c r="B161" s="19">
        <v>9460</v>
      </c>
      <c r="C161" s="19" t="s">
        <v>303</v>
      </c>
      <c r="D161" s="19" t="s">
        <v>302</v>
      </c>
      <c r="E161" s="19" t="s">
        <v>9</v>
      </c>
      <c r="F161" s="19" t="s">
        <v>98</v>
      </c>
      <c r="G161" s="20" t="str">
        <f>IF(LEN(ElecLkUp[[#This Row],[Ledger Code]])&gt;3,"AR"&amp;ElecLkUp[[#This Row],[Ledger Code]],"TBC")</f>
        <v>AR9460</v>
      </c>
      <c r="H161" s="114"/>
      <c r="I161" s="114"/>
      <c r="J161" s="114"/>
      <c r="K161" s="114"/>
      <c r="L161" s="114"/>
      <c r="M161" s="114"/>
      <c r="N161" s="114"/>
      <c r="O161" s="114"/>
      <c r="P161" s="41">
        <v>370.84</v>
      </c>
      <c r="Q161" s="41">
        <v>56002.86</v>
      </c>
      <c r="R161" s="41">
        <v>21300.239999999998</v>
      </c>
      <c r="S161" s="41">
        <v>37167.74</v>
      </c>
      <c r="T161" s="41">
        <v>30287.69</v>
      </c>
      <c r="U161" s="41">
        <v>21949.49</v>
      </c>
      <c r="V161" s="41">
        <v>23322.730000000003</v>
      </c>
      <c r="W161" s="41">
        <v>22802.319999999996</v>
      </c>
      <c r="X161" s="36" t="s">
        <v>352</v>
      </c>
      <c r="Y161" s="36" t="s">
        <v>352</v>
      </c>
      <c r="Z161" s="36" t="s">
        <v>352</v>
      </c>
      <c r="AA161" s="36" t="s">
        <v>352</v>
      </c>
      <c r="AB161" s="36" t="s">
        <v>352</v>
      </c>
      <c r="AC161" s="36" t="s">
        <v>352</v>
      </c>
      <c r="AD161" s="36" t="s">
        <v>352</v>
      </c>
      <c r="AE161" s="36" t="s">
        <v>352</v>
      </c>
    </row>
    <row r="162" spans="1:31" ht="15" customHeight="1" x14ac:dyDescent="0.25">
      <c r="A162" s="18">
        <v>5902</v>
      </c>
      <c r="B162" s="19">
        <v>7516</v>
      </c>
      <c r="C162" s="19" t="s">
        <v>304</v>
      </c>
      <c r="D162" s="19" t="s">
        <v>305</v>
      </c>
      <c r="E162" s="19" t="s">
        <v>220</v>
      </c>
      <c r="F162" s="19" t="s">
        <v>228</v>
      </c>
      <c r="G162" s="20" t="str">
        <f>IF(LEN(ElecLkUp[[#This Row],[Ledger Code]])&gt;3,"AR"&amp;ElecLkUp[[#This Row],[Ledger Code]],"TBC")</f>
        <v>AR7516</v>
      </c>
      <c r="H162" s="114"/>
      <c r="I162" s="114"/>
      <c r="J162" s="114"/>
      <c r="K162" s="114"/>
      <c r="L162" s="114"/>
      <c r="M162" s="114"/>
      <c r="N162" s="114"/>
      <c r="O162" s="114"/>
      <c r="P162" s="41">
        <v>0</v>
      </c>
      <c r="Q162" s="41">
        <v>0</v>
      </c>
      <c r="R162" s="41">
        <v>0</v>
      </c>
      <c r="S162" s="41">
        <v>0</v>
      </c>
      <c r="T162" s="41">
        <v>0</v>
      </c>
      <c r="U162" s="41">
        <v>0</v>
      </c>
      <c r="V162" s="41">
        <v>4675.91</v>
      </c>
      <c r="W162" s="41">
        <v>21825.279999999999</v>
      </c>
      <c r="X162" s="36" t="s">
        <v>352</v>
      </c>
      <c r="Y162" s="36" t="s">
        <v>352</v>
      </c>
      <c r="Z162" s="36" t="s">
        <v>352</v>
      </c>
      <c r="AA162" s="36" t="s">
        <v>352</v>
      </c>
      <c r="AB162" s="36" t="s">
        <v>352</v>
      </c>
      <c r="AC162" s="36" t="s">
        <v>352</v>
      </c>
      <c r="AD162" s="36" t="s">
        <v>352</v>
      </c>
      <c r="AE162" s="36" t="s">
        <v>352</v>
      </c>
    </row>
    <row r="163" spans="1:31" ht="15" customHeight="1" x14ac:dyDescent="0.25">
      <c r="A163" s="18">
        <v>5906</v>
      </c>
      <c r="B163" s="19">
        <v>3028</v>
      </c>
      <c r="C163" s="19" t="s">
        <v>306</v>
      </c>
      <c r="D163" s="19" t="s">
        <v>307</v>
      </c>
      <c r="E163" s="19" t="s">
        <v>57</v>
      </c>
      <c r="F163" s="19" t="s">
        <v>70</v>
      </c>
      <c r="G163" s="20" t="str">
        <f>IF(LEN(ElecLkUp[[#This Row],[Ledger Code]])&gt;3,"AR"&amp;ElecLkUp[[#This Row],[Ledger Code]],"TBC")</f>
        <v>AR3028</v>
      </c>
      <c r="H163" s="114"/>
      <c r="I163" s="114"/>
      <c r="J163" s="114"/>
      <c r="K163" s="114"/>
      <c r="L163" s="114"/>
      <c r="M163" s="114"/>
      <c r="N163" s="114"/>
      <c r="O163" s="114"/>
      <c r="P163" s="41">
        <v>0</v>
      </c>
      <c r="Q163" s="41">
        <v>0</v>
      </c>
      <c r="R163" s="41">
        <v>0</v>
      </c>
      <c r="S163" s="41">
        <v>0</v>
      </c>
      <c r="T163" s="41">
        <v>0</v>
      </c>
      <c r="U163" s="41">
        <v>0</v>
      </c>
      <c r="V163" s="41">
        <v>0</v>
      </c>
      <c r="W163" s="41">
        <v>0</v>
      </c>
      <c r="X163" s="36" t="s">
        <v>352</v>
      </c>
      <c r="Y163" s="36" t="s">
        <v>352</v>
      </c>
      <c r="Z163" s="36" t="s">
        <v>352</v>
      </c>
      <c r="AA163" s="36" t="s">
        <v>352</v>
      </c>
      <c r="AB163" s="36" t="s">
        <v>352</v>
      </c>
      <c r="AC163" s="36" t="s">
        <v>352</v>
      </c>
      <c r="AD163" s="36" t="s">
        <v>352</v>
      </c>
      <c r="AE163" s="36" t="s">
        <v>352</v>
      </c>
    </row>
    <row r="164" spans="1:31" ht="15" customHeight="1" x14ac:dyDescent="0.25">
      <c r="A164" s="21">
        <v>5909</v>
      </c>
      <c r="B164" s="19">
        <v>9473</v>
      </c>
      <c r="C164" s="19" t="s">
        <v>308</v>
      </c>
      <c r="D164" s="19" t="s">
        <v>309</v>
      </c>
      <c r="E164" s="19" t="s">
        <v>57</v>
      </c>
      <c r="F164" s="19" t="s">
        <v>70</v>
      </c>
      <c r="G164" s="20" t="str">
        <f>IF(LEN(ElecLkUp[[#This Row],[Ledger Code]])&gt;3,"AR"&amp;ElecLkUp[[#This Row],[Ledger Code]],"TBC")</f>
        <v>AR9473</v>
      </c>
      <c r="H164" s="114"/>
      <c r="I164" s="114"/>
      <c r="J164" s="114"/>
      <c r="K164" s="114"/>
      <c r="L164" s="114"/>
      <c r="M164" s="114"/>
      <c r="N164" s="114"/>
      <c r="O164" s="114"/>
      <c r="P164" s="41">
        <v>0</v>
      </c>
      <c r="Q164" s="41">
        <v>0</v>
      </c>
      <c r="R164" s="41">
        <v>0</v>
      </c>
      <c r="S164" s="41">
        <v>0</v>
      </c>
      <c r="T164" s="41">
        <v>0</v>
      </c>
      <c r="U164" s="41">
        <v>0</v>
      </c>
      <c r="V164" s="41">
        <v>0</v>
      </c>
      <c r="W164" s="41">
        <v>0</v>
      </c>
      <c r="X164" s="36" t="s">
        <v>352</v>
      </c>
      <c r="Y164" s="36" t="s">
        <v>352</v>
      </c>
      <c r="Z164" s="36" t="s">
        <v>352</v>
      </c>
      <c r="AA164" s="36" t="s">
        <v>352</v>
      </c>
      <c r="AB164" s="36" t="s">
        <v>352</v>
      </c>
      <c r="AC164" s="36" t="s">
        <v>352</v>
      </c>
      <c r="AD164" s="36" t="s">
        <v>352</v>
      </c>
      <c r="AE164" s="36" t="s">
        <v>352</v>
      </c>
    </row>
    <row r="165" spans="1:31" ht="15" customHeight="1" x14ac:dyDescent="0.25">
      <c r="A165" s="18">
        <v>5910</v>
      </c>
      <c r="B165" s="19">
        <v>9472</v>
      </c>
      <c r="C165" s="19" t="s">
        <v>310</v>
      </c>
      <c r="D165" s="19" t="s">
        <v>309</v>
      </c>
      <c r="E165" s="19" t="s">
        <v>57</v>
      </c>
      <c r="F165" s="19" t="s">
        <v>70</v>
      </c>
      <c r="G165" s="20" t="str">
        <f>IF(LEN(ElecLkUp[[#This Row],[Ledger Code]])&gt;3,"AR"&amp;ElecLkUp[[#This Row],[Ledger Code]],"TBC")</f>
        <v>AR9472</v>
      </c>
      <c r="H165" s="114"/>
      <c r="I165" s="114"/>
      <c r="J165" s="114"/>
      <c r="K165" s="114"/>
      <c r="L165" s="114"/>
      <c r="M165" s="114"/>
      <c r="N165" s="114"/>
      <c r="O165" s="114"/>
      <c r="P165" s="41">
        <v>0</v>
      </c>
      <c r="Q165" s="41">
        <v>0</v>
      </c>
      <c r="R165" s="41">
        <v>0</v>
      </c>
      <c r="S165" s="41">
        <v>431.77</v>
      </c>
      <c r="T165" s="41">
        <v>-12.17</v>
      </c>
      <c r="U165" s="41">
        <v>0</v>
      </c>
      <c r="V165" s="41">
        <v>0</v>
      </c>
      <c r="W165" s="41">
        <v>0</v>
      </c>
      <c r="X165" s="36" t="s">
        <v>352</v>
      </c>
      <c r="Y165" s="36" t="s">
        <v>352</v>
      </c>
      <c r="Z165" s="36" t="s">
        <v>352</v>
      </c>
      <c r="AA165" s="36" t="s">
        <v>352</v>
      </c>
      <c r="AB165" s="36" t="s">
        <v>352</v>
      </c>
      <c r="AC165" s="36" t="s">
        <v>352</v>
      </c>
      <c r="AD165" s="36" t="s">
        <v>352</v>
      </c>
      <c r="AE165" s="36" t="s">
        <v>352</v>
      </c>
    </row>
    <row r="166" spans="1:31" ht="15" customHeight="1" x14ac:dyDescent="0.25">
      <c r="A166" s="18">
        <v>5912</v>
      </c>
      <c r="B166" s="19">
        <v>9474</v>
      </c>
      <c r="C166" s="19" t="s">
        <v>311</v>
      </c>
      <c r="D166" s="19" t="s">
        <v>309</v>
      </c>
      <c r="E166" s="19" t="s">
        <v>57</v>
      </c>
      <c r="F166" s="19" t="s">
        <v>70</v>
      </c>
      <c r="G166" s="20" t="str">
        <f>IF(LEN(ElecLkUp[[#This Row],[Ledger Code]])&gt;3,"AR"&amp;ElecLkUp[[#This Row],[Ledger Code]],"TBC")</f>
        <v>AR9474</v>
      </c>
      <c r="H166" s="114"/>
      <c r="I166" s="114"/>
      <c r="J166" s="114"/>
      <c r="K166" s="114"/>
      <c r="L166" s="114"/>
      <c r="M166" s="114"/>
      <c r="N166" s="114"/>
      <c r="O166" s="114"/>
      <c r="P166" s="41">
        <v>0</v>
      </c>
      <c r="Q166" s="41">
        <v>0</v>
      </c>
      <c r="R166" s="41">
        <v>0</v>
      </c>
      <c r="S166" s="41">
        <v>0</v>
      </c>
      <c r="T166" s="41">
        <v>0</v>
      </c>
      <c r="U166" s="41">
        <v>0</v>
      </c>
      <c r="V166" s="41">
        <v>0</v>
      </c>
      <c r="W166" s="41">
        <v>0</v>
      </c>
      <c r="X166" s="36" t="s">
        <v>352</v>
      </c>
      <c r="Y166" s="36" t="s">
        <v>352</v>
      </c>
      <c r="Z166" s="36" t="s">
        <v>352</v>
      </c>
      <c r="AA166" s="36" t="s">
        <v>352</v>
      </c>
      <c r="AB166" s="36" t="s">
        <v>352</v>
      </c>
      <c r="AC166" s="36" t="s">
        <v>352</v>
      </c>
      <c r="AD166" s="36" t="s">
        <v>352</v>
      </c>
      <c r="AE166" s="36" t="s">
        <v>352</v>
      </c>
    </row>
    <row r="167" spans="1:31" ht="15" customHeight="1" x14ac:dyDescent="0.25">
      <c r="A167" s="18">
        <v>5917</v>
      </c>
      <c r="B167" s="19">
        <v>9481</v>
      </c>
      <c r="C167" s="19" t="s">
        <v>184</v>
      </c>
      <c r="D167" s="19" t="s">
        <v>185</v>
      </c>
      <c r="E167" s="19" t="s">
        <v>57</v>
      </c>
      <c r="F167" s="19" t="s">
        <v>186</v>
      </c>
      <c r="G167" s="20" t="str">
        <f>IF(LEN(ElecLkUp[[#This Row],[Ledger Code]])&gt;3,"AR"&amp;ElecLkUp[[#This Row],[Ledger Code]],"TBC")</f>
        <v>AR9481</v>
      </c>
      <c r="H167" s="114">
        <v>157815</v>
      </c>
      <c r="I167" s="114">
        <v>149662</v>
      </c>
      <c r="J167" s="114">
        <v>184385</v>
      </c>
      <c r="K167" s="114">
        <v>188608</v>
      </c>
      <c r="L167" s="114">
        <v>158660</v>
      </c>
      <c r="M167" s="114">
        <v>145693</v>
      </c>
      <c r="N167" s="114">
        <v>169619</v>
      </c>
      <c r="O167" s="114">
        <v>123379</v>
      </c>
      <c r="P167" s="41">
        <v>20603</v>
      </c>
      <c r="Q167" s="41">
        <v>19749</v>
      </c>
      <c r="R167" s="41">
        <v>24611</v>
      </c>
      <c r="S167" s="41">
        <v>25809</v>
      </c>
      <c r="T167" s="41">
        <v>22309</v>
      </c>
      <c r="U167" s="41">
        <v>20962</v>
      </c>
      <c r="V167" s="41">
        <v>24792</v>
      </c>
      <c r="W167" s="41">
        <v>17765</v>
      </c>
      <c r="X167" s="36" t="s">
        <v>352</v>
      </c>
      <c r="Y167" s="36" t="s">
        <v>352</v>
      </c>
      <c r="Z167" s="36" t="s">
        <v>352</v>
      </c>
      <c r="AA167" s="36" t="s">
        <v>352</v>
      </c>
      <c r="AB167" s="36" t="s">
        <v>352</v>
      </c>
      <c r="AC167" s="36" t="s">
        <v>352</v>
      </c>
      <c r="AD167" s="36" t="s">
        <v>352</v>
      </c>
      <c r="AE167" s="36" t="s">
        <v>352</v>
      </c>
    </row>
    <row r="168" spans="1:31" ht="15" customHeight="1" x14ac:dyDescent="0.25">
      <c r="A168" s="21">
        <v>5919</v>
      </c>
      <c r="B168" s="19">
        <v>9484</v>
      </c>
      <c r="C168" s="19" t="s">
        <v>312</v>
      </c>
      <c r="D168" s="19" t="s">
        <v>313</v>
      </c>
      <c r="E168" s="19" t="s">
        <v>26</v>
      </c>
      <c r="F168" s="19" t="s">
        <v>27</v>
      </c>
      <c r="G168" s="20" t="str">
        <f>IF(LEN(ElecLkUp[[#This Row],[Ledger Code]])&gt;3,"AR"&amp;ElecLkUp[[#This Row],[Ledger Code]],"TBC")</f>
        <v>AR9484</v>
      </c>
      <c r="H168" s="114"/>
      <c r="I168" s="114"/>
      <c r="J168" s="114"/>
      <c r="K168" s="114"/>
      <c r="L168" s="114"/>
      <c r="M168" s="114"/>
      <c r="N168" s="114"/>
      <c r="O168" s="114"/>
      <c r="P168" s="41">
        <v>0</v>
      </c>
      <c r="Q168" s="41">
        <v>8517.5</v>
      </c>
      <c r="R168" s="41">
        <v>8841.4800000000032</v>
      </c>
      <c r="S168" s="41">
        <v>9917.5799999999981</v>
      </c>
      <c r="T168" s="41">
        <v>6926.0200000000013</v>
      </c>
      <c r="U168" s="41">
        <v>14638.71</v>
      </c>
      <c r="V168" s="41">
        <v>17112.599999999999</v>
      </c>
      <c r="W168" s="41">
        <v>9000</v>
      </c>
      <c r="X168" s="36" t="s">
        <v>352</v>
      </c>
      <c r="Y168" s="36" t="s">
        <v>352</v>
      </c>
      <c r="Z168" s="36" t="s">
        <v>352</v>
      </c>
      <c r="AA168" s="36" t="s">
        <v>352</v>
      </c>
      <c r="AB168" s="36" t="s">
        <v>352</v>
      </c>
      <c r="AC168" s="36" t="s">
        <v>352</v>
      </c>
      <c r="AD168" s="36" t="s">
        <v>352</v>
      </c>
      <c r="AE168" s="36" t="s">
        <v>352</v>
      </c>
    </row>
    <row r="169" spans="1:31" ht="15" customHeight="1" x14ac:dyDescent="0.25">
      <c r="A169" s="18">
        <v>5922</v>
      </c>
      <c r="B169" s="19">
        <v>9492</v>
      </c>
      <c r="C169" s="19" t="s">
        <v>314</v>
      </c>
      <c r="D169" s="19" t="s">
        <v>315</v>
      </c>
      <c r="E169" s="19" t="s">
        <v>26</v>
      </c>
      <c r="F169" s="19" t="s">
        <v>175</v>
      </c>
      <c r="G169" s="20" t="str">
        <f>IF(LEN(ElecLkUp[[#This Row],[Ledger Code]])&gt;3,"AR"&amp;ElecLkUp[[#This Row],[Ledger Code]],"TBC")</f>
        <v>AR9492</v>
      </c>
      <c r="H169" s="114">
        <v>0</v>
      </c>
      <c r="I169" s="114">
        <v>133327</v>
      </c>
      <c r="J169" s="114">
        <v>82308</v>
      </c>
      <c r="K169" s="114">
        <v>90491</v>
      </c>
      <c r="L169" s="114">
        <v>82112</v>
      </c>
      <c r="M169" s="114">
        <v>73108</v>
      </c>
      <c r="N169" s="114">
        <v>23678</v>
      </c>
      <c r="O169" s="114">
        <v>114185</v>
      </c>
      <c r="P169" s="41">
        <v>3141.79</v>
      </c>
      <c r="Q169" s="41">
        <v>18502.79</v>
      </c>
      <c r="R169" s="41">
        <v>9567.77</v>
      </c>
      <c r="S169" s="41">
        <v>10386.26</v>
      </c>
      <c r="T169" s="41">
        <v>9689.8999999999978</v>
      </c>
      <c r="U169" s="41">
        <v>8976.84</v>
      </c>
      <c r="V169" s="41">
        <v>8435.4000000000015</v>
      </c>
      <c r="W169" s="41">
        <v>7164.2899999999991</v>
      </c>
      <c r="X169" s="36">
        <v>0</v>
      </c>
      <c r="Y169" s="36">
        <v>133327</v>
      </c>
      <c r="Z169" s="36">
        <v>82308</v>
      </c>
      <c r="AA169" s="36">
        <v>90491</v>
      </c>
      <c r="AB169" s="36">
        <v>82112</v>
      </c>
      <c r="AC169" s="36">
        <v>73108</v>
      </c>
      <c r="AD169" s="36">
        <v>225647</v>
      </c>
      <c r="AE169" s="36">
        <v>287912</v>
      </c>
    </row>
    <row r="170" spans="1:31" ht="15" customHeight="1" x14ac:dyDescent="0.25">
      <c r="A170" s="18">
        <v>5925</v>
      </c>
      <c r="B170" s="19">
        <v>9122</v>
      </c>
      <c r="C170" s="19" t="s">
        <v>316</v>
      </c>
      <c r="D170" s="19" t="s">
        <v>317</v>
      </c>
      <c r="E170" s="19" t="s">
        <v>9</v>
      </c>
      <c r="F170" s="19" t="s">
        <v>10</v>
      </c>
      <c r="G170" s="20" t="str">
        <f>IF(LEN(ElecLkUp[[#This Row],[Ledger Code]])&gt;3,"AR"&amp;ElecLkUp[[#This Row],[Ledger Code]],"TBC")</f>
        <v>AR9122</v>
      </c>
      <c r="H170" s="114">
        <v>0</v>
      </c>
      <c r="I170" s="114">
        <v>0</v>
      </c>
      <c r="J170" s="114">
        <v>0</v>
      </c>
      <c r="K170" s="114">
        <v>16763</v>
      </c>
      <c r="L170" s="114">
        <v>0</v>
      </c>
      <c r="M170" s="114">
        <v>0</v>
      </c>
      <c r="N170" s="114">
        <v>0</v>
      </c>
      <c r="O170" s="114">
        <v>0</v>
      </c>
      <c r="P170" s="41">
        <v>10477.679999999998</v>
      </c>
      <c r="Q170" s="41">
        <v>13903.32</v>
      </c>
      <c r="R170" s="41">
        <v>14777.4</v>
      </c>
      <c r="S170" s="41">
        <v>40060.139999999992</v>
      </c>
      <c r="T170" s="41">
        <v>15844.029999999999</v>
      </c>
      <c r="U170" s="41">
        <v>35364.42</v>
      </c>
      <c r="V170" s="41">
        <v>95840.749999999971</v>
      </c>
      <c r="W170" s="41">
        <v>407.9300000000012</v>
      </c>
      <c r="X170" s="36">
        <v>0</v>
      </c>
      <c r="Y170" s="36">
        <v>0</v>
      </c>
      <c r="Z170" s="36">
        <v>0</v>
      </c>
      <c r="AA170" s="36">
        <v>16763</v>
      </c>
      <c r="AB170" s="36">
        <v>0</v>
      </c>
      <c r="AC170" s="36">
        <v>0</v>
      </c>
      <c r="AD170" s="36">
        <v>201969</v>
      </c>
      <c r="AE170" s="36">
        <v>173727</v>
      </c>
    </row>
    <row r="171" spans="1:31" ht="15" customHeight="1" x14ac:dyDescent="0.25">
      <c r="A171" s="18">
        <v>5966</v>
      </c>
      <c r="B171" s="19">
        <v>8125</v>
      </c>
      <c r="C171" s="19" t="s">
        <v>342</v>
      </c>
      <c r="D171" s="19" t="s">
        <v>343</v>
      </c>
      <c r="E171" s="19" t="s">
        <v>26</v>
      </c>
      <c r="F171" s="19" t="s">
        <v>48</v>
      </c>
      <c r="G171" s="20" t="str">
        <f>IF(LEN(ElecLkUp[[#This Row],[Ledger Code]])&gt;3,"AR"&amp;ElecLkUp[[#This Row],[Ledger Code]],"TBC")</f>
        <v>AR8125</v>
      </c>
      <c r="H171" s="114"/>
      <c r="I171" s="114"/>
      <c r="J171" s="114"/>
      <c r="K171" s="114"/>
      <c r="L171" s="114"/>
      <c r="M171" s="114"/>
      <c r="N171" s="114"/>
      <c r="O171" s="114"/>
      <c r="P171" s="41">
        <v>0</v>
      </c>
      <c r="Q171" s="41">
        <v>0</v>
      </c>
      <c r="R171" s="41">
        <v>1970.9899999999993</v>
      </c>
      <c r="S171" s="41">
        <v>3759.7799999999997</v>
      </c>
      <c r="T171" s="41">
        <v>0</v>
      </c>
      <c r="U171" s="41">
        <v>0</v>
      </c>
      <c r="V171" s="41">
        <v>0</v>
      </c>
      <c r="W171" s="41">
        <v>5263.0599999999995</v>
      </c>
      <c r="X171" s="36" t="s">
        <v>352</v>
      </c>
      <c r="Y171" s="36" t="s">
        <v>352</v>
      </c>
      <c r="Z171" s="36" t="s">
        <v>352</v>
      </c>
      <c r="AA171" s="36" t="s">
        <v>352</v>
      </c>
      <c r="AB171" s="36" t="s">
        <v>352</v>
      </c>
      <c r="AC171" s="36" t="s">
        <v>352</v>
      </c>
      <c r="AD171" s="36" t="s">
        <v>352</v>
      </c>
      <c r="AE171" s="36" t="s">
        <v>352</v>
      </c>
    </row>
    <row r="172" spans="1:31" ht="15" customHeight="1" x14ac:dyDescent="0.25">
      <c r="A172" s="18">
        <v>5967</v>
      </c>
      <c r="B172" s="19">
        <v>4213</v>
      </c>
      <c r="C172" s="19" t="s">
        <v>339</v>
      </c>
      <c r="D172" s="19" t="s">
        <v>340</v>
      </c>
      <c r="E172" s="19" t="s">
        <v>57</v>
      </c>
      <c r="F172" s="19" t="s">
        <v>233</v>
      </c>
      <c r="G172" s="20" t="str">
        <f>IF(LEN(ElecLkUp[[#This Row],[Ledger Code]])&gt;3,"AR"&amp;ElecLkUp[[#This Row],[Ledger Code]],"TBC")</f>
        <v>AR4213</v>
      </c>
      <c r="H172" s="114">
        <v>0</v>
      </c>
      <c r="I172" s="114">
        <v>0</v>
      </c>
      <c r="J172" s="114">
        <v>0</v>
      </c>
      <c r="K172" s="114">
        <v>0</v>
      </c>
      <c r="L172" s="114">
        <v>37765.599999999999</v>
      </c>
      <c r="M172" s="114">
        <v>46579.5</v>
      </c>
      <c r="N172" s="114">
        <v>16831.3</v>
      </c>
      <c r="O172" s="114">
        <v>0</v>
      </c>
      <c r="P172" s="41">
        <v>0</v>
      </c>
      <c r="Q172" s="41">
        <v>0</v>
      </c>
      <c r="R172" s="41">
        <v>0</v>
      </c>
      <c r="S172" s="41">
        <v>0</v>
      </c>
      <c r="T172" s="41">
        <v>3097.09</v>
      </c>
      <c r="U172" s="41">
        <v>6800.7100000000009</v>
      </c>
      <c r="V172" s="41">
        <v>34380.75</v>
      </c>
      <c r="W172" s="41">
        <v>2054.1099999999997</v>
      </c>
      <c r="X172" s="36">
        <v>0</v>
      </c>
      <c r="Y172" s="36">
        <v>0</v>
      </c>
      <c r="Z172" s="36">
        <v>0</v>
      </c>
      <c r="AA172" s="36">
        <v>0</v>
      </c>
      <c r="AB172" s="36">
        <v>37765.599999999999</v>
      </c>
      <c r="AC172" s="36">
        <v>46579.5</v>
      </c>
      <c r="AD172" s="36">
        <v>16831.3</v>
      </c>
      <c r="AE172" s="36">
        <v>0</v>
      </c>
    </row>
    <row r="173" spans="1:31" ht="15" customHeight="1" x14ac:dyDescent="0.25">
      <c r="A173" s="18">
        <v>6027</v>
      </c>
      <c r="B173" s="19">
        <v>2680</v>
      </c>
      <c r="C173" s="19" t="s">
        <v>336</v>
      </c>
      <c r="D173" s="19" t="s">
        <v>309</v>
      </c>
      <c r="E173" s="19" t="s">
        <v>57</v>
      </c>
      <c r="F173" s="19" t="s">
        <v>70</v>
      </c>
      <c r="G173" s="20" t="str">
        <f>IF(LEN(ElecLkUp[[#This Row],[Ledger Code]])&gt;3,"AR"&amp;ElecLkUp[[#This Row],[Ledger Code]],"TBC")</f>
        <v>AR2680</v>
      </c>
      <c r="H173" s="114"/>
      <c r="I173" s="114"/>
      <c r="J173" s="114"/>
      <c r="K173" s="114"/>
      <c r="L173" s="114"/>
      <c r="M173" s="114"/>
      <c r="N173" s="114"/>
      <c r="O173" s="114"/>
      <c r="P173" s="41">
        <v>0</v>
      </c>
      <c r="Q173" s="41">
        <v>0</v>
      </c>
      <c r="R173" s="41">
        <v>0</v>
      </c>
      <c r="S173" s="41">
        <v>0</v>
      </c>
      <c r="T173" s="41">
        <v>0</v>
      </c>
      <c r="U173" s="41">
        <v>1071.3499999999999</v>
      </c>
      <c r="V173" s="41">
        <v>0</v>
      </c>
      <c r="W173" s="41">
        <v>0</v>
      </c>
      <c r="X173" s="36" t="s">
        <v>352</v>
      </c>
      <c r="Y173" s="36" t="s">
        <v>352</v>
      </c>
      <c r="Z173" s="36" t="s">
        <v>352</v>
      </c>
      <c r="AA173" s="36" t="s">
        <v>352</v>
      </c>
      <c r="AB173" s="36" t="s">
        <v>352</v>
      </c>
      <c r="AC173" s="36" t="s">
        <v>352</v>
      </c>
      <c r="AD173" s="36" t="s">
        <v>352</v>
      </c>
      <c r="AE173" s="36" t="s">
        <v>352</v>
      </c>
    </row>
    <row r="174" spans="1:31" ht="15" customHeight="1" x14ac:dyDescent="0.25">
      <c r="A174" s="18">
        <v>6068</v>
      </c>
      <c r="B174" s="19" t="s">
        <v>387</v>
      </c>
      <c r="C174" s="19" t="s">
        <v>327</v>
      </c>
      <c r="D174" s="19" t="s">
        <v>328</v>
      </c>
      <c r="E174" s="19" t="s">
        <v>26</v>
      </c>
      <c r="F174" s="19" t="s">
        <v>175</v>
      </c>
      <c r="G174" s="20" t="str">
        <f>IF(LEN(ElecLkUp[[#This Row],[Ledger Code]])&gt;3,"AR"&amp;ElecLkUp[[#This Row],[Ledger Code]],"TBC")</f>
        <v>TBC</v>
      </c>
      <c r="H174" s="114"/>
      <c r="I174" s="114"/>
      <c r="J174" s="114"/>
      <c r="K174" s="114"/>
      <c r="L174" s="114"/>
      <c r="M174" s="114"/>
      <c r="N174" s="114"/>
      <c r="O174" s="114"/>
      <c r="P174" s="41">
        <v>0</v>
      </c>
      <c r="Q174" s="41">
        <v>0</v>
      </c>
      <c r="R174" s="41">
        <v>0</v>
      </c>
      <c r="S174" s="41">
        <v>0</v>
      </c>
      <c r="T174" s="41">
        <v>0</v>
      </c>
      <c r="U174" s="41">
        <v>0</v>
      </c>
      <c r="V174" s="41">
        <v>0</v>
      </c>
      <c r="W174" s="41">
        <v>0</v>
      </c>
      <c r="X174" s="36" t="s">
        <v>352</v>
      </c>
      <c r="Y174" s="36" t="s">
        <v>352</v>
      </c>
      <c r="Z174" s="36" t="s">
        <v>352</v>
      </c>
      <c r="AA174" s="36" t="s">
        <v>352</v>
      </c>
      <c r="AB174" s="36" t="s">
        <v>352</v>
      </c>
      <c r="AC174" s="36" t="s">
        <v>352</v>
      </c>
      <c r="AD174" s="36" t="s">
        <v>352</v>
      </c>
      <c r="AE174" s="36" t="s">
        <v>352</v>
      </c>
    </row>
    <row r="175" spans="1:31" ht="15" customHeight="1" x14ac:dyDescent="0.25">
      <c r="A175" s="18" t="s">
        <v>625</v>
      </c>
      <c r="B175" s="19" t="s">
        <v>387</v>
      </c>
      <c r="C175" s="19" t="s">
        <v>322</v>
      </c>
      <c r="D175" s="19">
        <v>0</v>
      </c>
      <c r="E175" s="19" t="s">
        <v>9</v>
      </c>
      <c r="F175" s="19">
        <v>0</v>
      </c>
      <c r="G175" s="20" t="str">
        <f>IF(LEN(ElecLkUp[[#This Row],[Ledger Code]])&gt;3,"AR"&amp;ElecLkUp[[#This Row],[Ledger Code]],"TBC")</f>
        <v>TBC</v>
      </c>
      <c r="H175" s="114"/>
      <c r="I175" s="114"/>
      <c r="J175" s="114"/>
      <c r="K175" s="114"/>
      <c r="L175" s="114"/>
      <c r="M175" s="114"/>
      <c r="N175" s="114"/>
      <c r="O175" s="114"/>
      <c r="P175" s="41">
        <v>0</v>
      </c>
      <c r="Q175" s="41">
        <v>0</v>
      </c>
      <c r="R175" s="41">
        <v>0</v>
      </c>
      <c r="S175" s="41">
        <v>0</v>
      </c>
      <c r="T175" s="41">
        <v>0</v>
      </c>
      <c r="U175" s="41">
        <v>0</v>
      </c>
      <c r="V175" s="41">
        <v>0</v>
      </c>
      <c r="W175" s="41">
        <v>0</v>
      </c>
      <c r="X175" s="36" t="s">
        <v>352</v>
      </c>
      <c r="Y175" s="36" t="s">
        <v>352</v>
      </c>
      <c r="Z175" s="36" t="s">
        <v>352</v>
      </c>
      <c r="AA175" s="36" t="s">
        <v>352</v>
      </c>
      <c r="AB175" s="36" t="s">
        <v>352</v>
      </c>
      <c r="AC175" s="36" t="s">
        <v>352</v>
      </c>
      <c r="AD175" s="36" t="s">
        <v>352</v>
      </c>
      <c r="AE175" s="36" t="s">
        <v>352</v>
      </c>
    </row>
    <row r="176" spans="1:31" ht="15" customHeight="1" x14ac:dyDescent="0.25">
      <c r="A176" s="18">
        <v>5914</v>
      </c>
      <c r="B176" s="19">
        <v>9478</v>
      </c>
      <c r="C176" s="19" t="s">
        <v>388</v>
      </c>
      <c r="D176" s="19" t="s">
        <v>364</v>
      </c>
      <c r="E176" s="19" t="s">
        <v>57</v>
      </c>
      <c r="F176" s="19" t="s">
        <v>58</v>
      </c>
      <c r="G176" s="20" t="str">
        <f>IF(LEN(ElecLkUp[[#This Row],[Ledger Code]])&gt;3,"AR"&amp;ElecLkUp[[#This Row],[Ledger Code]],"TBC")</f>
        <v>AR9478</v>
      </c>
      <c r="H176" s="114"/>
      <c r="I176" s="114"/>
      <c r="J176" s="114"/>
      <c r="K176" s="114"/>
      <c r="L176" s="114"/>
      <c r="M176" s="114"/>
      <c r="N176" s="114"/>
      <c r="O176" s="114"/>
      <c r="P176" s="41">
        <v>12560.15</v>
      </c>
      <c r="Q176" s="41">
        <v>12560.15</v>
      </c>
      <c r="R176" s="41">
        <v>-25120.300000000003</v>
      </c>
      <c r="S176" s="41">
        <v>0</v>
      </c>
      <c r="T176" s="41">
        <v>7761.83</v>
      </c>
      <c r="U176" s="41">
        <v>4827.01</v>
      </c>
      <c r="V176" s="41">
        <v>-12588.840000000004</v>
      </c>
      <c r="W176" s="41">
        <v>0</v>
      </c>
      <c r="X176" s="36" t="s">
        <v>352</v>
      </c>
      <c r="Y176" s="36" t="s">
        <v>352</v>
      </c>
      <c r="Z176" s="36" t="s">
        <v>352</v>
      </c>
      <c r="AA176" s="36" t="s">
        <v>352</v>
      </c>
      <c r="AB176" s="36" t="s">
        <v>352</v>
      </c>
      <c r="AC176" s="36" t="s">
        <v>352</v>
      </c>
      <c r="AD176" s="36" t="s">
        <v>352</v>
      </c>
      <c r="AE176" s="36" t="s">
        <v>352</v>
      </c>
    </row>
    <row r="177" spans="1:31" ht="15" customHeight="1" x14ac:dyDescent="0.25">
      <c r="A177" s="18">
        <v>6106</v>
      </c>
      <c r="B177" s="19">
        <v>9478</v>
      </c>
      <c r="C177" s="19" t="s">
        <v>363</v>
      </c>
      <c r="D177" s="19" t="s">
        <v>364</v>
      </c>
      <c r="E177" s="19" t="s">
        <v>57</v>
      </c>
      <c r="F177" s="19" t="s">
        <v>58</v>
      </c>
      <c r="G177" s="20" t="str">
        <f>IF(LEN(ElecLkUp[[#This Row],[Ledger Code]])&gt;3,"AR"&amp;ElecLkUp[[#This Row],[Ledger Code]],"TBC")</f>
        <v>AR9478</v>
      </c>
      <c r="H177" s="114"/>
      <c r="I177" s="114"/>
      <c r="J177" s="114"/>
      <c r="K177" s="114"/>
      <c r="L177" s="114"/>
      <c r="M177" s="114"/>
      <c r="N177" s="114"/>
      <c r="O177" s="114"/>
      <c r="P177" s="41">
        <v>12560.15</v>
      </c>
      <c r="Q177" s="41">
        <v>12560.15</v>
      </c>
      <c r="R177" s="41">
        <v>-25120.300000000003</v>
      </c>
      <c r="S177" s="41">
        <v>0</v>
      </c>
      <c r="T177" s="41">
        <v>7761.83</v>
      </c>
      <c r="U177" s="41">
        <v>4827.01</v>
      </c>
      <c r="V177" s="41">
        <v>-12588.840000000004</v>
      </c>
      <c r="W177" s="41">
        <v>0</v>
      </c>
      <c r="X177" s="36" t="s">
        <v>352</v>
      </c>
      <c r="Y177" s="36" t="s">
        <v>352</v>
      </c>
      <c r="Z177" s="36" t="s">
        <v>352</v>
      </c>
      <c r="AA177" s="36" t="s">
        <v>352</v>
      </c>
      <c r="AB177" s="36" t="s">
        <v>352</v>
      </c>
      <c r="AC177" s="36" t="s">
        <v>352</v>
      </c>
      <c r="AD177" s="36" t="s">
        <v>352</v>
      </c>
      <c r="AE177" s="36" t="s">
        <v>352</v>
      </c>
    </row>
    <row r="178" spans="1:31" ht="15" customHeight="1" x14ac:dyDescent="0.25">
      <c r="A178" s="18">
        <v>6107</v>
      </c>
      <c r="B178" s="19">
        <v>9478</v>
      </c>
      <c r="C178" s="19" t="s">
        <v>365</v>
      </c>
      <c r="D178" s="19" t="s">
        <v>364</v>
      </c>
      <c r="E178" s="19" t="s">
        <v>57</v>
      </c>
      <c r="F178" s="19" t="s">
        <v>58</v>
      </c>
      <c r="G178" s="20" t="str">
        <f>IF(LEN(ElecLkUp[[#This Row],[Ledger Code]])&gt;3,"AR"&amp;ElecLkUp[[#This Row],[Ledger Code]],"TBC")</f>
        <v>AR9478</v>
      </c>
      <c r="H178" s="114"/>
      <c r="I178" s="114"/>
      <c r="J178" s="114"/>
      <c r="K178" s="114"/>
      <c r="L178" s="114"/>
      <c r="M178" s="114"/>
      <c r="N178" s="114"/>
      <c r="O178" s="114"/>
      <c r="P178" s="41">
        <v>12560.15</v>
      </c>
      <c r="Q178" s="41">
        <v>12560.15</v>
      </c>
      <c r="R178" s="41">
        <v>-25120.300000000003</v>
      </c>
      <c r="S178" s="41">
        <v>0</v>
      </c>
      <c r="T178" s="41">
        <v>7761.83</v>
      </c>
      <c r="U178" s="41">
        <v>4827.01</v>
      </c>
      <c r="V178" s="41">
        <v>-12588.840000000004</v>
      </c>
      <c r="W178" s="41">
        <v>0</v>
      </c>
      <c r="X178" s="36" t="s">
        <v>352</v>
      </c>
      <c r="Y178" s="36" t="s">
        <v>352</v>
      </c>
      <c r="Z178" s="36" t="s">
        <v>352</v>
      </c>
      <c r="AA178" s="36" t="s">
        <v>352</v>
      </c>
      <c r="AB178" s="36" t="s">
        <v>352</v>
      </c>
      <c r="AC178" s="36" t="s">
        <v>352</v>
      </c>
      <c r="AD178" s="36" t="s">
        <v>352</v>
      </c>
      <c r="AE178" s="36" t="s">
        <v>352</v>
      </c>
    </row>
    <row r="179" spans="1:31" ht="15" customHeight="1" x14ac:dyDescent="0.25">
      <c r="A179" s="18">
        <v>5877</v>
      </c>
      <c r="B179" s="19">
        <v>7517</v>
      </c>
      <c r="C179" s="19" t="s">
        <v>366</v>
      </c>
      <c r="D179" s="19" t="s">
        <v>305</v>
      </c>
      <c r="E179" s="19" t="s">
        <v>220</v>
      </c>
      <c r="F179" s="19" t="s">
        <v>228</v>
      </c>
      <c r="G179" s="20" t="str">
        <f>IF(LEN(ElecLkUp[[#This Row],[Ledger Code]])&gt;3,"AR"&amp;ElecLkUp[[#This Row],[Ledger Code]],"TBC")</f>
        <v>AR7517</v>
      </c>
      <c r="H179" s="114"/>
      <c r="I179" s="114"/>
      <c r="J179" s="114"/>
      <c r="K179" s="114"/>
      <c r="L179" s="114"/>
      <c r="M179" s="114"/>
      <c r="N179" s="114"/>
      <c r="O179" s="114"/>
      <c r="P179" s="41">
        <v>0</v>
      </c>
      <c r="Q179" s="41">
        <v>0</v>
      </c>
      <c r="R179" s="41">
        <v>0</v>
      </c>
      <c r="S179" s="41">
        <v>0</v>
      </c>
      <c r="T179" s="41">
        <v>0</v>
      </c>
      <c r="U179" s="41">
        <v>0</v>
      </c>
      <c r="V179" s="41">
        <v>5138.3900000000003</v>
      </c>
      <c r="W179" s="41">
        <v>875.04000000000087</v>
      </c>
      <c r="X179" s="36" t="s">
        <v>352</v>
      </c>
      <c r="Y179" s="36" t="s">
        <v>352</v>
      </c>
      <c r="Z179" s="36" t="s">
        <v>352</v>
      </c>
      <c r="AA179" s="36" t="s">
        <v>352</v>
      </c>
      <c r="AB179" s="36" t="s">
        <v>352</v>
      </c>
      <c r="AC179" s="36" t="s">
        <v>352</v>
      </c>
      <c r="AD179" s="36" t="s">
        <v>352</v>
      </c>
      <c r="AE179" s="36" t="s">
        <v>352</v>
      </c>
    </row>
    <row r="180" spans="1:31" ht="15" customHeight="1" x14ac:dyDescent="0.25">
      <c r="A180" s="18">
        <v>5901</v>
      </c>
      <c r="B180" s="19">
        <v>9454</v>
      </c>
      <c r="C180" s="19" t="s">
        <v>367</v>
      </c>
      <c r="D180" s="19" t="s">
        <v>305</v>
      </c>
      <c r="E180" s="19" t="s">
        <v>220</v>
      </c>
      <c r="F180" s="19" t="s">
        <v>228</v>
      </c>
      <c r="G180" s="20" t="str">
        <f>IF(LEN(ElecLkUp[[#This Row],[Ledger Code]])&gt;3,"AR"&amp;ElecLkUp[[#This Row],[Ledger Code]],"TBC")</f>
        <v>AR9454</v>
      </c>
      <c r="H180" s="114"/>
      <c r="I180" s="114"/>
      <c r="J180" s="114"/>
      <c r="K180" s="114"/>
      <c r="L180" s="114"/>
      <c r="M180" s="114"/>
      <c r="N180" s="114"/>
      <c r="O180" s="114"/>
      <c r="P180" s="41">
        <v>0</v>
      </c>
      <c r="Q180" s="41">
        <v>0</v>
      </c>
      <c r="R180" s="41">
        <v>0</v>
      </c>
      <c r="S180" s="41">
        <v>44304.719999999994</v>
      </c>
      <c r="T180" s="41">
        <v>28176.52</v>
      </c>
      <c r="U180" s="41">
        <v>31383.839999999997</v>
      </c>
      <c r="V180" s="41">
        <v>0</v>
      </c>
      <c r="W180" s="41">
        <v>17610.189999999999</v>
      </c>
      <c r="X180" s="36" t="s">
        <v>352</v>
      </c>
      <c r="Y180" s="36" t="s">
        <v>352</v>
      </c>
      <c r="Z180" s="36" t="s">
        <v>352</v>
      </c>
      <c r="AA180" s="36" t="s">
        <v>352</v>
      </c>
      <c r="AB180" s="36" t="s">
        <v>352</v>
      </c>
      <c r="AC180" s="36" t="s">
        <v>352</v>
      </c>
      <c r="AD180" s="36" t="s">
        <v>352</v>
      </c>
      <c r="AE180" s="36" t="s">
        <v>352</v>
      </c>
    </row>
    <row r="181" spans="1:31" ht="15" customHeight="1" x14ac:dyDescent="0.25">
      <c r="A181" s="38">
        <v>940</v>
      </c>
      <c r="B181" s="39">
        <v>2527</v>
      </c>
      <c r="C181" s="39" t="s">
        <v>495</v>
      </c>
      <c r="D181" s="39" t="s">
        <v>496</v>
      </c>
      <c r="E181" s="39" t="s">
        <v>57</v>
      </c>
      <c r="F181" s="39" t="s">
        <v>58</v>
      </c>
      <c r="G181" s="40" t="str">
        <f>IF(LEN(ElecLkUp[[#This Row],[Ledger Code]])&gt;3,"AR"&amp;ElecLkUp[[#This Row],[Ledger Code]],"TBC")</f>
        <v>AR2527</v>
      </c>
      <c r="H181" s="115"/>
      <c r="I181" s="115"/>
      <c r="J181" s="115"/>
      <c r="K181" s="115"/>
      <c r="L181" s="115"/>
      <c r="M181" s="115"/>
      <c r="N181" s="115"/>
      <c r="O181" s="115"/>
      <c r="P181" s="42">
        <v>0</v>
      </c>
      <c r="Q181" s="42">
        <v>0</v>
      </c>
      <c r="R181" s="42">
        <v>0</v>
      </c>
      <c r="S181" s="42">
        <v>0</v>
      </c>
      <c r="T181" s="42">
        <v>0</v>
      </c>
      <c r="U181" s="42">
        <v>0</v>
      </c>
      <c r="V181" s="42">
        <v>0</v>
      </c>
      <c r="W181" s="42">
        <v>0</v>
      </c>
      <c r="X181" s="36" t="s">
        <v>352</v>
      </c>
      <c r="Y181" s="36" t="s">
        <v>352</v>
      </c>
      <c r="Z181" s="36" t="s">
        <v>352</v>
      </c>
      <c r="AA181" s="36" t="s">
        <v>352</v>
      </c>
      <c r="AB181" s="36" t="s">
        <v>352</v>
      </c>
      <c r="AC181" s="36" t="s">
        <v>352</v>
      </c>
      <c r="AD181" s="36" t="s">
        <v>352</v>
      </c>
      <c r="AE181" s="36" t="s">
        <v>352</v>
      </c>
    </row>
    <row r="182" spans="1:31" ht="15" customHeight="1" x14ac:dyDescent="0.25">
      <c r="A182" s="38">
        <v>2470</v>
      </c>
      <c r="B182" s="39">
        <v>3466</v>
      </c>
      <c r="C182" s="39" t="s">
        <v>497</v>
      </c>
      <c r="D182" s="39" t="s">
        <v>498</v>
      </c>
      <c r="E182" s="39" t="s">
        <v>57</v>
      </c>
      <c r="F182" s="39" t="s">
        <v>58</v>
      </c>
      <c r="G182" s="40" t="str">
        <f>IF(LEN(ElecLkUp[[#This Row],[Ledger Code]])&gt;3,"AR"&amp;ElecLkUp[[#This Row],[Ledger Code]],"TBC")</f>
        <v>AR3466</v>
      </c>
      <c r="H182" s="115"/>
      <c r="I182" s="115"/>
      <c r="J182" s="115"/>
      <c r="K182" s="115"/>
      <c r="L182" s="115"/>
      <c r="M182" s="115"/>
      <c r="N182" s="115"/>
      <c r="O182" s="115"/>
      <c r="P182" s="42">
        <v>0</v>
      </c>
      <c r="Q182" s="42">
        <v>11052.18</v>
      </c>
      <c r="R182" s="42">
        <v>10121.030000000001</v>
      </c>
      <c r="S182" s="42">
        <v>9659.1200000000008</v>
      </c>
      <c r="T182" s="42">
        <v>8334.59</v>
      </c>
      <c r="U182" s="42">
        <v>0</v>
      </c>
      <c r="V182" s="42">
        <v>0</v>
      </c>
      <c r="W182" s="42">
        <v>5498.8899999999994</v>
      </c>
      <c r="X182" s="36" t="s">
        <v>352</v>
      </c>
      <c r="Y182" s="36" t="s">
        <v>352</v>
      </c>
      <c r="Z182" s="36" t="s">
        <v>352</v>
      </c>
      <c r="AA182" s="36" t="s">
        <v>352</v>
      </c>
      <c r="AB182" s="36" t="s">
        <v>352</v>
      </c>
      <c r="AC182" s="36" t="s">
        <v>352</v>
      </c>
      <c r="AD182" s="36" t="s">
        <v>352</v>
      </c>
      <c r="AE182" s="36" t="s">
        <v>352</v>
      </c>
    </row>
    <row r="183" spans="1:31" ht="15" customHeight="1" x14ac:dyDescent="0.25">
      <c r="A183" s="38">
        <v>2502</v>
      </c>
      <c r="B183" s="39">
        <v>3594</v>
      </c>
      <c r="C183" s="39" t="s">
        <v>499</v>
      </c>
      <c r="D183" s="39" t="s">
        <v>500</v>
      </c>
      <c r="E183" s="39" t="s">
        <v>57</v>
      </c>
      <c r="F183" s="39" t="s">
        <v>58</v>
      </c>
      <c r="G183" s="40" t="str">
        <f>IF(LEN(ElecLkUp[[#This Row],[Ledger Code]])&gt;3,"AR"&amp;ElecLkUp[[#This Row],[Ledger Code]],"TBC")</f>
        <v>AR3594</v>
      </c>
      <c r="H183" s="115"/>
      <c r="I183" s="115"/>
      <c r="J183" s="115"/>
      <c r="K183" s="115"/>
      <c r="L183" s="115"/>
      <c r="M183" s="115"/>
      <c r="N183" s="115"/>
      <c r="O183" s="115"/>
      <c r="P183" s="42">
        <v>0</v>
      </c>
      <c r="Q183" s="42">
        <v>0</v>
      </c>
      <c r="R183" s="42">
        <v>0</v>
      </c>
      <c r="S183" s="42">
        <v>0</v>
      </c>
      <c r="T183" s="42">
        <v>0</v>
      </c>
      <c r="U183" s="42">
        <v>0</v>
      </c>
      <c r="V183" s="42">
        <v>0</v>
      </c>
      <c r="W183" s="42">
        <v>0</v>
      </c>
      <c r="X183" s="36" t="s">
        <v>352</v>
      </c>
      <c r="Y183" s="36" t="s">
        <v>352</v>
      </c>
      <c r="Z183" s="36" t="s">
        <v>352</v>
      </c>
      <c r="AA183" s="36" t="s">
        <v>352</v>
      </c>
      <c r="AB183" s="36" t="s">
        <v>352</v>
      </c>
      <c r="AC183" s="36" t="s">
        <v>352</v>
      </c>
      <c r="AD183" s="36" t="s">
        <v>352</v>
      </c>
      <c r="AE183" s="36" t="s">
        <v>352</v>
      </c>
    </row>
    <row r="184" spans="1:31" ht="15" customHeight="1" x14ac:dyDescent="0.25">
      <c r="A184" s="38">
        <v>2593</v>
      </c>
      <c r="B184" s="39">
        <v>3195</v>
      </c>
      <c r="C184" s="39" t="s">
        <v>501</v>
      </c>
      <c r="D184" s="39" t="s">
        <v>502</v>
      </c>
      <c r="E184" s="39" t="s">
        <v>57</v>
      </c>
      <c r="F184" s="39" t="s">
        <v>58</v>
      </c>
      <c r="G184" s="40" t="str">
        <f>IF(LEN(ElecLkUp[[#This Row],[Ledger Code]])&gt;3,"AR"&amp;ElecLkUp[[#This Row],[Ledger Code]],"TBC")</f>
        <v>AR3195</v>
      </c>
      <c r="H184" s="115"/>
      <c r="I184" s="115"/>
      <c r="J184" s="115"/>
      <c r="K184" s="115"/>
      <c r="L184" s="115"/>
      <c r="M184" s="115"/>
      <c r="N184" s="115"/>
      <c r="O184" s="115"/>
      <c r="P184" s="42">
        <v>0</v>
      </c>
      <c r="Q184" s="42">
        <v>0</v>
      </c>
      <c r="R184" s="42">
        <v>0</v>
      </c>
      <c r="S184" s="42">
        <v>3028.75</v>
      </c>
      <c r="T184" s="42">
        <v>418.03</v>
      </c>
      <c r="U184" s="42">
        <v>380.01</v>
      </c>
      <c r="V184" s="42">
        <v>431.56999999999994</v>
      </c>
      <c r="W184" s="42">
        <v>679.39</v>
      </c>
      <c r="X184" s="36" t="s">
        <v>352</v>
      </c>
      <c r="Y184" s="36" t="s">
        <v>352</v>
      </c>
      <c r="Z184" s="36" t="s">
        <v>352</v>
      </c>
      <c r="AA184" s="36" t="s">
        <v>352</v>
      </c>
      <c r="AB184" s="36" t="s">
        <v>352</v>
      </c>
      <c r="AC184" s="36" t="s">
        <v>352</v>
      </c>
      <c r="AD184" s="36" t="s">
        <v>352</v>
      </c>
      <c r="AE184" s="36" t="s">
        <v>352</v>
      </c>
    </row>
    <row r="185" spans="1:31" x14ac:dyDescent="0.25">
      <c r="A185" s="38">
        <v>2596</v>
      </c>
      <c r="B185" s="39">
        <v>3199</v>
      </c>
      <c r="C185" s="39" t="s">
        <v>503</v>
      </c>
      <c r="D185" s="39" t="s">
        <v>504</v>
      </c>
      <c r="E185" s="39" t="s">
        <v>57</v>
      </c>
      <c r="F185" s="39" t="s">
        <v>58</v>
      </c>
      <c r="G185" s="40" t="str">
        <f>IF(LEN(ElecLkUp[[#This Row],[Ledger Code]])&gt;3,"AR"&amp;ElecLkUp[[#This Row],[Ledger Code]],"TBC")</f>
        <v>AR3199</v>
      </c>
      <c r="H185" s="115"/>
      <c r="I185" s="115"/>
      <c r="J185" s="115"/>
      <c r="K185" s="115"/>
      <c r="L185" s="115"/>
      <c r="M185" s="115"/>
      <c r="N185" s="115"/>
      <c r="O185" s="115"/>
      <c r="P185" s="42">
        <v>14835.26</v>
      </c>
      <c r="Q185" s="42">
        <v>6697.93</v>
      </c>
      <c r="R185" s="42">
        <v>36501.380000000005</v>
      </c>
      <c r="S185" s="42">
        <v>43634.36</v>
      </c>
      <c r="T185" s="42">
        <v>6715.65</v>
      </c>
      <c r="U185" s="42">
        <v>20827.030000000006</v>
      </c>
      <c r="V185" s="42">
        <v>21932.229999999989</v>
      </c>
      <c r="W185" s="42">
        <v>7681.6299999999974</v>
      </c>
      <c r="X185" s="36" t="s">
        <v>352</v>
      </c>
      <c r="Y185" s="36" t="s">
        <v>352</v>
      </c>
      <c r="Z185" s="36" t="s">
        <v>352</v>
      </c>
      <c r="AA185" s="36" t="s">
        <v>352</v>
      </c>
      <c r="AB185" s="36" t="s">
        <v>352</v>
      </c>
      <c r="AC185" s="36" t="s">
        <v>352</v>
      </c>
      <c r="AD185" s="36" t="s">
        <v>352</v>
      </c>
      <c r="AE185" s="36" t="s">
        <v>352</v>
      </c>
    </row>
    <row r="186" spans="1:31" x14ac:dyDescent="0.25">
      <c r="A186" s="38">
        <v>2597</v>
      </c>
      <c r="B186" s="39">
        <v>3200</v>
      </c>
      <c r="C186" s="39" t="s">
        <v>505</v>
      </c>
      <c r="D186" s="39" t="s">
        <v>504</v>
      </c>
      <c r="E186" s="39" t="s">
        <v>57</v>
      </c>
      <c r="F186" s="39" t="s">
        <v>58</v>
      </c>
      <c r="G186" s="40" t="str">
        <f>IF(LEN(ElecLkUp[[#This Row],[Ledger Code]])&gt;3,"AR"&amp;ElecLkUp[[#This Row],[Ledger Code]],"TBC")</f>
        <v>AR3200</v>
      </c>
      <c r="H186" s="115"/>
      <c r="I186" s="115"/>
      <c r="J186" s="115"/>
      <c r="K186" s="115"/>
      <c r="L186" s="115"/>
      <c r="M186" s="115"/>
      <c r="N186" s="115"/>
      <c r="O186" s="115"/>
      <c r="P186" s="42">
        <v>15543.04</v>
      </c>
      <c r="Q186" s="42">
        <v>29898.510000000002</v>
      </c>
      <c r="R186" s="42">
        <v>14530.630000000003</v>
      </c>
      <c r="S186" s="42">
        <v>21885.100000000002</v>
      </c>
      <c r="T186" s="42">
        <v>14716.26</v>
      </c>
      <c r="U186" s="42">
        <v>31036.210000000006</v>
      </c>
      <c r="V186" s="42">
        <v>24014.550000000003</v>
      </c>
      <c r="W186" s="42">
        <v>9044.4</v>
      </c>
      <c r="X186" s="36" t="s">
        <v>352</v>
      </c>
      <c r="Y186" s="36" t="s">
        <v>352</v>
      </c>
      <c r="Z186" s="36" t="s">
        <v>352</v>
      </c>
      <c r="AA186" s="36" t="s">
        <v>352</v>
      </c>
      <c r="AB186" s="36" t="s">
        <v>352</v>
      </c>
      <c r="AC186" s="36" t="s">
        <v>352</v>
      </c>
      <c r="AD186" s="36" t="s">
        <v>352</v>
      </c>
      <c r="AE186" s="36" t="s">
        <v>352</v>
      </c>
    </row>
    <row r="187" spans="1:31" ht="15" customHeight="1" x14ac:dyDescent="0.25">
      <c r="A187" s="38">
        <v>2698</v>
      </c>
      <c r="B187" s="39">
        <v>3493</v>
      </c>
      <c r="C187" s="39" t="s">
        <v>331</v>
      </c>
      <c r="D187" s="39" t="s">
        <v>506</v>
      </c>
      <c r="E187" s="39" t="s">
        <v>57</v>
      </c>
      <c r="F187" s="39" t="s">
        <v>58</v>
      </c>
      <c r="G187" s="40" t="str">
        <f>IF(LEN(ElecLkUp[[#This Row],[Ledger Code]])&gt;3,"AR"&amp;ElecLkUp[[#This Row],[Ledger Code]],"TBC")</f>
        <v>AR3493</v>
      </c>
      <c r="H187" s="115"/>
      <c r="I187" s="115"/>
      <c r="J187" s="115"/>
      <c r="K187" s="115"/>
      <c r="L187" s="115"/>
      <c r="M187" s="115"/>
      <c r="N187" s="115"/>
      <c r="O187" s="115"/>
      <c r="P187" s="42">
        <v>589.9799999999999</v>
      </c>
      <c r="Q187" s="42">
        <v>1106.8399999999992</v>
      </c>
      <c r="R187" s="42">
        <v>3767.66</v>
      </c>
      <c r="S187" s="42">
        <v>4258.84</v>
      </c>
      <c r="T187" s="42">
        <v>2077.7500000000005</v>
      </c>
      <c r="U187" s="42">
        <v>3336.7099999999987</v>
      </c>
      <c r="V187" s="42">
        <v>2859.09</v>
      </c>
      <c r="W187" s="42">
        <v>2403.1</v>
      </c>
      <c r="X187" s="36" t="s">
        <v>352</v>
      </c>
      <c r="Y187" s="36" t="s">
        <v>352</v>
      </c>
      <c r="Z187" s="36" t="s">
        <v>352</v>
      </c>
      <c r="AA187" s="36" t="s">
        <v>352</v>
      </c>
      <c r="AB187" s="36" t="s">
        <v>352</v>
      </c>
      <c r="AC187" s="36" t="s">
        <v>352</v>
      </c>
      <c r="AD187" s="36" t="s">
        <v>352</v>
      </c>
      <c r="AE187" s="36" t="s">
        <v>352</v>
      </c>
    </row>
    <row r="188" spans="1:31" ht="15" customHeight="1" x14ac:dyDescent="0.25">
      <c r="A188" s="38">
        <v>4292</v>
      </c>
      <c r="B188" s="39">
        <v>4107</v>
      </c>
      <c r="C188" s="39" t="s">
        <v>507</v>
      </c>
      <c r="D188" s="39" t="s">
        <v>508</v>
      </c>
      <c r="E188" s="39" t="s">
        <v>57</v>
      </c>
      <c r="F188" s="39" t="s">
        <v>233</v>
      </c>
      <c r="G188" s="40" t="str">
        <f>IF(LEN(ElecLkUp[[#This Row],[Ledger Code]])&gt;3,"AR"&amp;ElecLkUp[[#This Row],[Ledger Code]],"TBC")</f>
        <v>AR4107</v>
      </c>
      <c r="H188" s="115">
        <v>0</v>
      </c>
      <c r="I188" s="115">
        <v>0</v>
      </c>
      <c r="J188" s="115">
        <v>8013</v>
      </c>
      <c r="K188" s="115">
        <v>9432</v>
      </c>
      <c r="L188" s="115">
        <v>11070</v>
      </c>
      <c r="M188" s="115">
        <v>10077</v>
      </c>
      <c r="N188" s="115">
        <v>3492</v>
      </c>
      <c r="O188" s="115">
        <v>13056</v>
      </c>
      <c r="P188" s="42">
        <v>0</v>
      </c>
      <c r="Q188" s="42">
        <v>0</v>
      </c>
      <c r="R188" s="42">
        <v>1182.6100000000001</v>
      </c>
      <c r="S188" s="42">
        <v>7335.2300000000005</v>
      </c>
      <c r="T188" s="42">
        <v>1295.0499999999993</v>
      </c>
      <c r="U188" s="42">
        <v>2009.6699999999996</v>
      </c>
      <c r="V188" s="42">
        <v>309.99000000000024</v>
      </c>
      <c r="W188" s="42">
        <v>1249.6300000000001</v>
      </c>
      <c r="X188" s="36">
        <v>0</v>
      </c>
      <c r="Y188" s="36">
        <v>0</v>
      </c>
      <c r="Z188" s="36">
        <v>8013</v>
      </c>
      <c r="AA188" s="36">
        <v>9432</v>
      </c>
      <c r="AB188" s="36">
        <v>11070</v>
      </c>
      <c r="AC188" s="36">
        <v>10077</v>
      </c>
      <c r="AD188" s="36">
        <v>205461</v>
      </c>
      <c r="AE188" s="36">
        <v>186783</v>
      </c>
    </row>
    <row r="189" spans="1:31" ht="15" customHeight="1" x14ac:dyDescent="0.25">
      <c r="A189" s="38">
        <v>4332</v>
      </c>
      <c r="B189" s="39">
        <v>4197</v>
      </c>
      <c r="C189" s="39" t="s">
        <v>509</v>
      </c>
      <c r="D189" s="39" t="s">
        <v>510</v>
      </c>
      <c r="E189" s="39" t="s">
        <v>57</v>
      </c>
      <c r="F189" s="39" t="s">
        <v>233</v>
      </c>
      <c r="G189" s="40" t="str">
        <f>IF(LEN(ElecLkUp[[#This Row],[Ledger Code]])&gt;3,"AR"&amp;ElecLkUp[[#This Row],[Ledger Code]],"TBC")</f>
        <v>AR4197</v>
      </c>
      <c r="H189" s="115"/>
      <c r="I189" s="115"/>
      <c r="J189" s="115"/>
      <c r="K189" s="115"/>
      <c r="L189" s="115"/>
      <c r="M189" s="115"/>
      <c r="N189" s="115"/>
      <c r="O189" s="115"/>
      <c r="P189" s="42">
        <v>0</v>
      </c>
      <c r="Q189" s="42">
        <v>0</v>
      </c>
      <c r="R189" s="42">
        <v>1155.45</v>
      </c>
      <c r="S189" s="42">
        <v>5818.62</v>
      </c>
      <c r="T189" s="42">
        <v>7083.36</v>
      </c>
      <c r="U189" s="42">
        <v>3263.0599999999981</v>
      </c>
      <c r="V189" s="42">
        <v>1280.9800000000007</v>
      </c>
      <c r="W189" s="42">
        <v>770.01</v>
      </c>
      <c r="X189" s="36" t="s">
        <v>352</v>
      </c>
      <c r="Y189" s="36" t="s">
        <v>352</v>
      </c>
      <c r="Z189" s="36" t="s">
        <v>352</v>
      </c>
      <c r="AA189" s="36" t="s">
        <v>352</v>
      </c>
      <c r="AB189" s="36" t="s">
        <v>352</v>
      </c>
      <c r="AC189" s="36" t="s">
        <v>352</v>
      </c>
      <c r="AD189" s="36" t="s">
        <v>352</v>
      </c>
      <c r="AE189" s="36" t="s">
        <v>352</v>
      </c>
    </row>
    <row r="190" spans="1:31" ht="15" customHeight="1" x14ac:dyDescent="0.25">
      <c r="A190" s="38">
        <v>5943</v>
      </c>
      <c r="B190" s="39">
        <v>4200</v>
      </c>
      <c r="C190" s="39" t="s">
        <v>511</v>
      </c>
      <c r="D190" s="39" t="s">
        <v>512</v>
      </c>
      <c r="E190" s="39" t="s">
        <v>57</v>
      </c>
      <c r="F190" s="39" t="s">
        <v>233</v>
      </c>
      <c r="G190" s="40" t="str">
        <f>IF(LEN(ElecLkUp[[#This Row],[Ledger Code]])&gt;3,"AR"&amp;ElecLkUp[[#This Row],[Ledger Code]],"TBC")</f>
        <v>AR4200</v>
      </c>
      <c r="H190" s="115"/>
      <c r="I190" s="115"/>
      <c r="J190" s="115"/>
      <c r="K190" s="115"/>
      <c r="L190" s="115"/>
      <c r="M190" s="115"/>
      <c r="N190" s="115"/>
      <c r="O190" s="115"/>
      <c r="P190" s="42">
        <v>0</v>
      </c>
      <c r="Q190" s="42">
        <v>107.79000000000002</v>
      </c>
      <c r="R190" s="42">
        <v>147.06</v>
      </c>
      <c r="S190" s="42">
        <v>3831.8500000000004</v>
      </c>
      <c r="T190" s="42">
        <v>1470.4</v>
      </c>
      <c r="U190" s="42">
        <v>1487.97</v>
      </c>
      <c r="V190" s="42">
        <v>6893.409999999998</v>
      </c>
      <c r="W190" s="42">
        <v>4670.1099999999997</v>
      </c>
      <c r="X190" s="36" t="s">
        <v>352</v>
      </c>
      <c r="Y190" s="36" t="s">
        <v>352</v>
      </c>
      <c r="Z190" s="36" t="s">
        <v>352</v>
      </c>
      <c r="AA190" s="36" t="s">
        <v>352</v>
      </c>
      <c r="AB190" s="36" t="s">
        <v>352</v>
      </c>
      <c r="AC190" s="36" t="s">
        <v>352</v>
      </c>
      <c r="AD190" s="36" t="s">
        <v>352</v>
      </c>
      <c r="AE190" s="36" t="s">
        <v>352</v>
      </c>
    </row>
    <row r="191" spans="1:31" ht="15" customHeight="1" x14ac:dyDescent="0.25">
      <c r="A191" s="38">
        <v>4377</v>
      </c>
      <c r="B191" s="39">
        <v>4107</v>
      </c>
      <c r="C191" s="39" t="s">
        <v>513</v>
      </c>
      <c r="D191" s="39" t="s">
        <v>508</v>
      </c>
      <c r="E191" s="39" t="s">
        <v>57</v>
      </c>
      <c r="F191" s="39" t="s">
        <v>233</v>
      </c>
      <c r="G191" s="40" t="str">
        <f>IF(LEN(ElecLkUp[[#This Row],[Ledger Code]])&gt;3,"AR"&amp;ElecLkUp[[#This Row],[Ledger Code]],"TBC")</f>
        <v>AR4107</v>
      </c>
      <c r="H191" s="115">
        <v>0</v>
      </c>
      <c r="I191" s="115">
        <v>0</v>
      </c>
      <c r="J191" s="115">
        <v>8013</v>
      </c>
      <c r="K191" s="115">
        <v>9432</v>
      </c>
      <c r="L191" s="115">
        <v>11070</v>
      </c>
      <c r="M191" s="115">
        <v>10077</v>
      </c>
      <c r="N191" s="115">
        <v>3492</v>
      </c>
      <c r="O191" s="115">
        <v>13056</v>
      </c>
      <c r="P191" s="42">
        <v>0</v>
      </c>
      <c r="Q191" s="42">
        <v>0</v>
      </c>
      <c r="R191" s="42">
        <v>1182.6100000000001</v>
      </c>
      <c r="S191" s="42">
        <v>7335.2300000000005</v>
      </c>
      <c r="T191" s="42">
        <v>1295.0499999999993</v>
      </c>
      <c r="U191" s="42">
        <v>2009.6699999999996</v>
      </c>
      <c r="V191" s="42">
        <v>309.99000000000024</v>
      </c>
      <c r="W191" s="42">
        <v>1249.6300000000001</v>
      </c>
      <c r="X191" s="36">
        <v>0</v>
      </c>
      <c r="Y191" s="36">
        <v>0</v>
      </c>
      <c r="Z191" s="36">
        <v>8013</v>
      </c>
      <c r="AA191" s="36">
        <v>9432</v>
      </c>
      <c r="AB191" s="36">
        <v>11070</v>
      </c>
      <c r="AC191" s="36">
        <v>10077</v>
      </c>
      <c r="AD191" s="36">
        <v>205461</v>
      </c>
      <c r="AE191" s="36">
        <v>186783</v>
      </c>
    </row>
    <row r="192" spans="1:31" ht="15" customHeight="1" x14ac:dyDescent="0.25">
      <c r="A192" s="38">
        <v>4379</v>
      </c>
      <c r="B192" s="39">
        <v>4121</v>
      </c>
      <c r="C192" s="39" t="s">
        <v>514</v>
      </c>
      <c r="D192" s="39" t="s">
        <v>515</v>
      </c>
      <c r="E192" s="39" t="s">
        <v>57</v>
      </c>
      <c r="F192" s="39" t="s">
        <v>233</v>
      </c>
      <c r="G192" s="40" t="str">
        <f>IF(LEN(ElecLkUp[[#This Row],[Ledger Code]])&gt;3,"AR"&amp;ElecLkUp[[#This Row],[Ledger Code]],"TBC")</f>
        <v>AR4121</v>
      </c>
      <c r="H192" s="115"/>
      <c r="I192" s="115"/>
      <c r="J192" s="115"/>
      <c r="K192" s="115"/>
      <c r="L192" s="115"/>
      <c r="M192" s="115"/>
      <c r="N192" s="115"/>
      <c r="O192" s="115"/>
      <c r="P192" s="42">
        <v>0</v>
      </c>
      <c r="Q192" s="42">
        <v>0</v>
      </c>
      <c r="R192" s="42">
        <v>0</v>
      </c>
      <c r="S192" s="42">
        <v>0</v>
      </c>
      <c r="T192" s="42">
        <v>0</v>
      </c>
      <c r="U192" s="42">
        <v>0</v>
      </c>
      <c r="V192" s="42">
        <v>0</v>
      </c>
      <c r="W192" s="42">
        <v>0</v>
      </c>
      <c r="X192" s="36" t="s">
        <v>352</v>
      </c>
      <c r="Y192" s="36" t="s">
        <v>352</v>
      </c>
      <c r="Z192" s="36" t="s">
        <v>352</v>
      </c>
      <c r="AA192" s="36" t="s">
        <v>352</v>
      </c>
      <c r="AB192" s="36" t="s">
        <v>352</v>
      </c>
      <c r="AC192" s="36" t="s">
        <v>352</v>
      </c>
      <c r="AD192" s="36" t="s">
        <v>352</v>
      </c>
      <c r="AE192" s="36" t="s">
        <v>352</v>
      </c>
    </row>
    <row r="193" spans="1:31" ht="15" customHeight="1" x14ac:dyDescent="0.25">
      <c r="A193" s="38">
        <v>4386</v>
      </c>
      <c r="B193" s="39">
        <v>4119</v>
      </c>
      <c r="C193" s="39" t="s">
        <v>516</v>
      </c>
      <c r="D193" s="39" t="s">
        <v>517</v>
      </c>
      <c r="E193" s="39" t="s">
        <v>57</v>
      </c>
      <c r="F193" s="39" t="s">
        <v>233</v>
      </c>
      <c r="G193" s="40" t="str">
        <f>IF(LEN(ElecLkUp[[#This Row],[Ledger Code]])&gt;3,"AR"&amp;ElecLkUp[[#This Row],[Ledger Code]],"TBC")</f>
        <v>AR4119</v>
      </c>
      <c r="H193" s="115"/>
      <c r="I193" s="115"/>
      <c r="J193" s="115"/>
      <c r="K193" s="115"/>
      <c r="L193" s="115"/>
      <c r="M193" s="115"/>
      <c r="N193" s="115"/>
      <c r="O193" s="115"/>
      <c r="P193" s="42">
        <v>0</v>
      </c>
      <c r="Q193" s="42">
        <v>0</v>
      </c>
      <c r="R193" s="42">
        <v>0</v>
      </c>
      <c r="S193" s="42">
        <v>0</v>
      </c>
      <c r="T193" s="42">
        <v>0</v>
      </c>
      <c r="U193" s="42">
        <v>0</v>
      </c>
      <c r="V193" s="42">
        <v>0</v>
      </c>
      <c r="W193" s="42">
        <v>0</v>
      </c>
      <c r="X193" s="36" t="s">
        <v>352</v>
      </c>
      <c r="Y193" s="36" t="s">
        <v>352</v>
      </c>
      <c r="Z193" s="36" t="s">
        <v>352</v>
      </c>
      <c r="AA193" s="36" t="s">
        <v>352</v>
      </c>
      <c r="AB193" s="36" t="s">
        <v>352</v>
      </c>
      <c r="AC193" s="36" t="s">
        <v>352</v>
      </c>
      <c r="AD193" s="36" t="s">
        <v>352</v>
      </c>
      <c r="AE193" s="36" t="s">
        <v>352</v>
      </c>
    </row>
    <row r="194" spans="1:31" ht="15" customHeight="1" x14ac:dyDescent="0.25">
      <c r="A194" s="38">
        <v>5942</v>
      </c>
      <c r="B194" s="39">
        <v>4201</v>
      </c>
      <c r="C194" s="39" t="s">
        <v>518</v>
      </c>
      <c r="D194" s="39" t="s">
        <v>519</v>
      </c>
      <c r="E194" s="39" t="s">
        <v>57</v>
      </c>
      <c r="F194" s="39" t="s">
        <v>233</v>
      </c>
      <c r="G194" s="40" t="str">
        <f>IF(LEN(ElecLkUp[[#This Row],[Ledger Code]])&gt;3,"AR"&amp;ElecLkUp[[#This Row],[Ledger Code]],"TBC")</f>
        <v>AR4201</v>
      </c>
      <c r="H194" s="115"/>
      <c r="I194" s="115"/>
      <c r="J194" s="115"/>
      <c r="K194" s="115"/>
      <c r="L194" s="115"/>
      <c r="M194" s="115"/>
      <c r="N194" s="115"/>
      <c r="O194" s="115"/>
      <c r="P194" s="42">
        <v>0</v>
      </c>
      <c r="Q194" s="42">
        <v>0</v>
      </c>
      <c r="R194" s="42">
        <v>0</v>
      </c>
      <c r="S194" s="42">
        <v>0</v>
      </c>
      <c r="T194" s="42">
        <v>0</v>
      </c>
      <c r="U194" s="42">
        <v>0</v>
      </c>
      <c r="V194" s="42">
        <v>0</v>
      </c>
      <c r="W194" s="42">
        <v>0</v>
      </c>
      <c r="X194" s="36" t="s">
        <v>352</v>
      </c>
      <c r="Y194" s="36" t="s">
        <v>352</v>
      </c>
      <c r="Z194" s="36" t="s">
        <v>352</v>
      </c>
      <c r="AA194" s="36" t="s">
        <v>352</v>
      </c>
      <c r="AB194" s="36" t="s">
        <v>352</v>
      </c>
      <c r="AC194" s="36" t="s">
        <v>352</v>
      </c>
      <c r="AD194" s="36" t="s">
        <v>352</v>
      </c>
      <c r="AE194" s="36" t="s">
        <v>352</v>
      </c>
    </row>
    <row r="195" spans="1:31" ht="15" customHeight="1" x14ac:dyDescent="0.25">
      <c r="A195" s="38">
        <v>5944</v>
      </c>
      <c r="B195" s="39">
        <v>4199</v>
      </c>
      <c r="C195" s="39" t="s">
        <v>520</v>
      </c>
      <c r="D195" s="39" t="s">
        <v>521</v>
      </c>
      <c r="E195" s="39" t="s">
        <v>57</v>
      </c>
      <c r="F195" s="39" t="s">
        <v>233</v>
      </c>
      <c r="G195" s="40" t="str">
        <f>IF(LEN(ElecLkUp[[#This Row],[Ledger Code]])&gt;3,"AR"&amp;ElecLkUp[[#This Row],[Ledger Code]],"TBC")</f>
        <v>AR4199</v>
      </c>
      <c r="H195" s="115"/>
      <c r="I195" s="115"/>
      <c r="J195" s="115"/>
      <c r="K195" s="115"/>
      <c r="L195" s="115"/>
      <c r="M195" s="115"/>
      <c r="N195" s="115"/>
      <c r="O195" s="115"/>
      <c r="P195" s="42">
        <v>0</v>
      </c>
      <c r="Q195" s="42">
        <v>0</v>
      </c>
      <c r="R195" s="42">
        <v>0</v>
      </c>
      <c r="S195" s="42">
        <v>0</v>
      </c>
      <c r="T195" s="42">
        <v>0</v>
      </c>
      <c r="U195" s="42">
        <v>0</v>
      </c>
      <c r="V195" s="42">
        <v>0</v>
      </c>
      <c r="W195" s="42">
        <v>0</v>
      </c>
      <c r="X195" s="36" t="s">
        <v>352</v>
      </c>
      <c r="Y195" s="36" t="s">
        <v>352</v>
      </c>
      <c r="Z195" s="36" t="s">
        <v>352</v>
      </c>
      <c r="AA195" s="36" t="s">
        <v>352</v>
      </c>
      <c r="AB195" s="36" t="s">
        <v>352</v>
      </c>
      <c r="AC195" s="36" t="s">
        <v>352</v>
      </c>
      <c r="AD195" s="36" t="s">
        <v>352</v>
      </c>
      <c r="AE195" s="36" t="s">
        <v>352</v>
      </c>
    </row>
    <row r="196" spans="1:31" ht="15" customHeight="1" x14ac:dyDescent="0.25">
      <c r="A196" s="38">
        <v>5946</v>
      </c>
      <c r="B196" s="39">
        <v>4058</v>
      </c>
      <c r="C196" s="39" t="s">
        <v>522</v>
      </c>
      <c r="D196" s="39" t="s">
        <v>523</v>
      </c>
      <c r="E196" s="39" t="s">
        <v>57</v>
      </c>
      <c r="F196" s="39" t="s">
        <v>233</v>
      </c>
      <c r="G196" s="40" t="str">
        <f>IF(LEN(ElecLkUp[[#This Row],[Ledger Code]])&gt;3,"AR"&amp;ElecLkUp[[#This Row],[Ledger Code]],"TBC")</f>
        <v>AR4058</v>
      </c>
      <c r="H196" s="115"/>
      <c r="I196" s="115"/>
      <c r="J196" s="115"/>
      <c r="K196" s="115"/>
      <c r="L196" s="115"/>
      <c r="M196" s="115"/>
      <c r="N196" s="115"/>
      <c r="O196" s="115"/>
      <c r="P196" s="42">
        <v>0</v>
      </c>
      <c r="Q196" s="42">
        <v>5175.9399999999996</v>
      </c>
      <c r="R196" s="42">
        <v>0</v>
      </c>
      <c r="S196" s="42">
        <v>-862.65999999999985</v>
      </c>
      <c r="T196" s="42">
        <v>0</v>
      </c>
      <c r="U196" s="42">
        <v>22.86</v>
      </c>
      <c r="V196" s="42">
        <v>0</v>
      </c>
      <c r="W196" s="42">
        <v>0</v>
      </c>
      <c r="X196" s="36" t="s">
        <v>352</v>
      </c>
      <c r="Y196" s="36" t="s">
        <v>352</v>
      </c>
      <c r="Z196" s="36" t="s">
        <v>352</v>
      </c>
      <c r="AA196" s="36" t="s">
        <v>352</v>
      </c>
      <c r="AB196" s="36" t="s">
        <v>352</v>
      </c>
      <c r="AC196" s="36" t="s">
        <v>352</v>
      </c>
      <c r="AD196" s="36" t="s">
        <v>352</v>
      </c>
      <c r="AE196" s="36" t="s">
        <v>352</v>
      </c>
    </row>
    <row r="197" spans="1:31" ht="15" customHeight="1" x14ac:dyDescent="0.25">
      <c r="A197" s="38">
        <v>5863</v>
      </c>
      <c r="B197" s="39">
        <v>4562</v>
      </c>
      <c r="C197" s="39" t="s">
        <v>524</v>
      </c>
      <c r="D197" s="39" t="s">
        <v>525</v>
      </c>
      <c r="E197" s="39" t="s">
        <v>57</v>
      </c>
      <c r="F197" s="39" t="s">
        <v>233</v>
      </c>
      <c r="G197" s="40" t="str">
        <f>IF(LEN(ElecLkUp[[#This Row],[Ledger Code]])&gt;3,"AR"&amp;ElecLkUp[[#This Row],[Ledger Code]],"TBC")</f>
        <v>AR4562</v>
      </c>
      <c r="H197" s="115"/>
      <c r="I197" s="115"/>
      <c r="J197" s="115"/>
      <c r="K197" s="115"/>
      <c r="L197" s="115"/>
      <c r="M197" s="115"/>
      <c r="N197" s="115"/>
      <c r="O197" s="115"/>
      <c r="P197" s="42">
        <v>0</v>
      </c>
      <c r="Q197" s="42">
        <v>0</v>
      </c>
      <c r="R197" s="42">
        <v>0</v>
      </c>
      <c r="S197" s="42">
        <v>0</v>
      </c>
      <c r="T197" s="42">
        <v>0</v>
      </c>
      <c r="U197" s="42">
        <v>3995.59</v>
      </c>
      <c r="V197" s="42">
        <v>5325.35</v>
      </c>
      <c r="W197" s="42">
        <v>2386.9499999999998</v>
      </c>
      <c r="X197" s="36" t="s">
        <v>352</v>
      </c>
      <c r="Y197" s="36" t="s">
        <v>352</v>
      </c>
      <c r="Z197" s="36" t="s">
        <v>352</v>
      </c>
      <c r="AA197" s="36" t="s">
        <v>352</v>
      </c>
      <c r="AB197" s="36" t="s">
        <v>352</v>
      </c>
      <c r="AC197" s="36" t="s">
        <v>352</v>
      </c>
      <c r="AD197" s="36" t="s">
        <v>352</v>
      </c>
      <c r="AE197" s="36" t="s">
        <v>352</v>
      </c>
    </row>
    <row r="198" spans="1:31" ht="15" customHeight="1" x14ac:dyDescent="0.25">
      <c r="A198" s="38">
        <v>5795</v>
      </c>
      <c r="B198" s="39">
        <v>4395</v>
      </c>
      <c r="C198" s="39" t="s">
        <v>526</v>
      </c>
      <c r="D198" s="39" t="s">
        <v>527</v>
      </c>
      <c r="E198" s="39" t="s">
        <v>57</v>
      </c>
      <c r="F198" s="39" t="s">
        <v>233</v>
      </c>
      <c r="G198" s="40" t="str">
        <f>IF(LEN(ElecLkUp[[#This Row],[Ledger Code]])&gt;3,"AR"&amp;ElecLkUp[[#This Row],[Ledger Code]],"TBC")</f>
        <v>AR4395</v>
      </c>
      <c r="H198" s="115"/>
      <c r="I198" s="115"/>
      <c r="J198" s="115"/>
      <c r="K198" s="115"/>
      <c r="L198" s="115"/>
      <c r="M198" s="115"/>
      <c r="N198" s="115"/>
      <c r="O198" s="115"/>
      <c r="P198" s="42">
        <v>0</v>
      </c>
      <c r="Q198" s="42">
        <v>0</v>
      </c>
      <c r="R198" s="42">
        <v>0</v>
      </c>
      <c r="S198" s="42">
        <v>0</v>
      </c>
      <c r="T198" s="42">
        <v>0</v>
      </c>
      <c r="U198" s="42">
        <v>0</v>
      </c>
      <c r="V198" s="42">
        <v>6352.44</v>
      </c>
      <c r="W198" s="42">
        <v>0</v>
      </c>
      <c r="X198" s="36" t="s">
        <v>352</v>
      </c>
      <c r="Y198" s="36" t="s">
        <v>352</v>
      </c>
      <c r="Z198" s="36" t="s">
        <v>352</v>
      </c>
      <c r="AA198" s="36" t="s">
        <v>352</v>
      </c>
      <c r="AB198" s="36" t="s">
        <v>352</v>
      </c>
      <c r="AC198" s="36" t="s">
        <v>352</v>
      </c>
      <c r="AD198" s="36" t="s">
        <v>352</v>
      </c>
      <c r="AE198" s="36" t="s">
        <v>352</v>
      </c>
    </row>
    <row r="199" spans="1:31" ht="15" customHeight="1" x14ac:dyDescent="0.25">
      <c r="A199" s="38">
        <v>5872</v>
      </c>
      <c r="B199" s="39">
        <v>4434</v>
      </c>
      <c r="C199" s="39" t="s">
        <v>253</v>
      </c>
      <c r="D199" s="39" t="s">
        <v>565</v>
      </c>
      <c r="E199" s="39" t="s">
        <v>57</v>
      </c>
      <c r="F199" s="39" t="s">
        <v>233</v>
      </c>
      <c r="G199" s="40" t="str">
        <f>IF(LEN(ElecLkUp[[#This Row],[Ledger Code]])&gt;3,"AR"&amp;ElecLkUp[[#This Row],[Ledger Code]],"TBC")</f>
        <v>AR4434</v>
      </c>
      <c r="H199" s="115">
        <v>0</v>
      </c>
      <c r="I199" s="115">
        <v>0</v>
      </c>
      <c r="J199" s="115">
        <v>168588</v>
      </c>
      <c r="K199" s="115">
        <v>62836</v>
      </c>
      <c r="L199" s="115">
        <v>48829</v>
      </c>
      <c r="M199" s="115">
        <v>48794</v>
      </c>
      <c r="N199" s="115">
        <v>16003</v>
      </c>
      <c r="O199" s="115">
        <v>63369</v>
      </c>
      <c r="P199" s="42">
        <v>0</v>
      </c>
      <c r="Q199" s="42">
        <v>2.2737367544323206E-13</v>
      </c>
      <c r="R199" s="42">
        <v>20206.909999999996</v>
      </c>
      <c r="S199" s="42">
        <v>7496.16</v>
      </c>
      <c r="T199" s="42">
        <v>6149.3899999999994</v>
      </c>
      <c r="U199" s="42">
        <v>6339.7100000000037</v>
      </c>
      <c r="V199" s="42">
        <v>6073.59</v>
      </c>
      <c r="W199" s="42">
        <v>4051.5299999999993</v>
      </c>
      <c r="X199" s="36">
        <v>0</v>
      </c>
      <c r="Y199" s="36">
        <v>0</v>
      </c>
      <c r="Z199" s="36">
        <v>168588</v>
      </c>
      <c r="AA199" s="36">
        <v>62836</v>
      </c>
      <c r="AB199" s="36">
        <v>48829</v>
      </c>
      <c r="AC199" s="36">
        <v>48794</v>
      </c>
      <c r="AD199" s="36">
        <v>217972</v>
      </c>
      <c r="AE199" s="36">
        <v>237096</v>
      </c>
    </row>
    <row r="200" spans="1:31" ht="15" customHeight="1" x14ac:dyDescent="0.25">
      <c r="A200" s="38">
        <v>4941</v>
      </c>
      <c r="B200" s="39">
        <v>4261</v>
      </c>
      <c r="C200" s="39" t="s">
        <v>561</v>
      </c>
      <c r="D200" s="39" t="s">
        <v>562</v>
      </c>
      <c r="E200" s="39" t="s">
        <v>57</v>
      </c>
      <c r="F200" s="39" t="s">
        <v>233</v>
      </c>
      <c r="G200" s="40" t="str">
        <f>IF(LEN(ElecLkUp[[#This Row],[Ledger Code]])&gt;3,"AR"&amp;ElecLkUp[[#This Row],[Ledger Code]],"TBC")</f>
        <v>AR4261</v>
      </c>
      <c r="H200" s="115">
        <v>0</v>
      </c>
      <c r="I200" s="115">
        <v>0</v>
      </c>
      <c r="J200" s="115">
        <v>143126</v>
      </c>
      <c r="K200" s="115">
        <v>58145</v>
      </c>
      <c r="L200" s="115">
        <v>50759</v>
      </c>
      <c r="M200" s="115">
        <v>44582</v>
      </c>
      <c r="N200" s="115">
        <v>37159</v>
      </c>
      <c r="O200" s="115">
        <v>62274</v>
      </c>
      <c r="P200" s="42">
        <v>0</v>
      </c>
      <c r="Q200" s="42">
        <v>0</v>
      </c>
      <c r="R200" s="42">
        <v>17012.429999999997</v>
      </c>
      <c r="S200" s="42">
        <v>6924.8899999999994</v>
      </c>
      <c r="T200" s="42">
        <v>6257.34</v>
      </c>
      <c r="U200" s="42">
        <v>5615.7600000000011</v>
      </c>
      <c r="V200" s="42">
        <v>6752.2900000000009</v>
      </c>
      <c r="W200" s="42">
        <v>5336.25</v>
      </c>
      <c r="X200" s="36">
        <v>0</v>
      </c>
      <c r="Y200" s="36">
        <v>0</v>
      </c>
      <c r="Z200" s="36">
        <v>143126</v>
      </c>
      <c r="AA200" s="36">
        <v>58145</v>
      </c>
      <c r="AB200" s="36">
        <v>50759</v>
      </c>
      <c r="AC200" s="36">
        <v>44582</v>
      </c>
      <c r="AD200" s="36">
        <v>239128</v>
      </c>
      <c r="AE200" s="36">
        <v>236001</v>
      </c>
    </row>
    <row r="201" spans="1:31" ht="15" customHeight="1" x14ac:dyDescent="0.25">
      <c r="A201" s="38">
        <v>5828</v>
      </c>
      <c r="B201" s="39">
        <v>4550</v>
      </c>
      <c r="C201" s="39" t="s">
        <v>563</v>
      </c>
      <c r="D201" s="39" t="s">
        <v>564</v>
      </c>
      <c r="E201" s="39" t="s">
        <v>57</v>
      </c>
      <c r="F201" s="39" t="s">
        <v>233</v>
      </c>
      <c r="G201" s="40" t="str">
        <f>IF(LEN(ElecLkUp[[#This Row],[Ledger Code]])&gt;3,"AR"&amp;ElecLkUp[[#This Row],[Ledger Code]],"TBC")</f>
        <v>AR4550</v>
      </c>
      <c r="H201" s="115">
        <v>0</v>
      </c>
      <c r="I201" s="115">
        <v>15506</v>
      </c>
      <c r="J201" s="115">
        <v>10740</v>
      </c>
      <c r="K201" s="115">
        <v>10963</v>
      </c>
      <c r="L201" s="115">
        <v>9782</v>
      </c>
      <c r="M201" s="115">
        <v>9097</v>
      </c>
      <c r="N201" s="115">
        <v>4447</v>
      </c>
      <c r="O201" s="115">
        <v>14702</v>
      </c>
      <c r="P201" s="42">
        <v>0</v>
      </c>
      <c r="Q201" s="42">
        <v>0</v>
      </c>
      <c r="R201" s="42">
        <v>3314.5</v>
      </c>
      <c r="S201" s="42">
        <v>1371.82</v>
      </c>
      <c r="T201" s="42">
        <v>1276.22</v>
      </c>
      <c r="U201" s="42">
        <v>1211.6300000000001</v>
      </c>
      <c r="V201" s="42">
        <v>1458.38</v>
      </c>
      <c r="W201" s="42">
        <v>893.51000000000022</v>
      </c>
      <c r="X201" s="36">
        <v>0</v>
      </c>
      <c r="Y201" s="36">
        <v>15506</v>
      </c>
      <c r="Z201" s="36">
        <v>10740</v>
      </c>
      <c r="AA201" s="36">
        <v>10963</v>
      </c>
      <c r="AB201" s="36">
        <v>9782</v>
      </c>
      <c r="AC201" s="36">
        <v>9097</v>
      </c>
      <c r="AD201" s="36">
        <v>206416</v>
      </c>
      <c r="AE201" s="36">
        <v>188429</v>
      </c>
    </row>
    <row r="202" spans="1:31" ht="15" customHeight="1" x14ac:dyDescent="0.25">
      <c r="A202" s="38" t="s">
        <v>626</v>
      </c>
      <c r="B202" s="39" t="s">
        <v>387</v>
      </c>
      <c r="C202" s="39" t="s">
        <v>528</v>
      </c>
      <c r="D202" s="39">
        <v>0</v>
      </c>
      <c r="E202" s="39" t="s">
        <v>57</v>
      </c>
      <c r="F202" s="39" t="s">
        <v>70</v>
      </c>
      <c r="G202" s="40" t="str">
        <f>IF(LEN(ElecLkUp[[#This Row],[Ledger Code]])&gt;3,"AR"&amp;ElecLkUp[[#This Row],[Ledger Code]],"TBC")</f>
        <v>TBC</v>
      </c>
      <c r="H202" s="115"/>
      <c r="I202" s="115"/>
      <c r="J202" s="115"/>
      <c r="K202" s="115"/>
      <c r="L202" s="115"/>
      <c r="M202" s="115"/>
      <c r="N202" s="115"/>
      <c r="O202" s="115"/>
      <c r="P202" s="42">
        <v>0</v>
      </c>
      <c r="Q202" s="42">
        <v>0</v>
      </c>
      <c r="R202" s="42">
        <v>0</v>
      </c>
      <c r="S202" s="42">
        <v>0</v>
      </c>
      <c r="T202" s="42">
        <v>0</v>
      </c>
      <c r="U202" s="42">
        <v>0</v>
      </c>
      <c r="V202" s="42">
        <v>0</v>
      </c>
      <c r="W202" s="42">
        <v>0</v>
      </c>
      <c r="X202" s="36" t="s">
        <v>352</v>
      </c>
      <c r="Y202" s="36" t="s">
        <v>352</v>
      </c>
      <c r="Z202" s="36" t="s">
        <v>352</v>
      </c>
      <c r="AA202" s="36" t="s">
        <v>352</v>
      </c>
      <c r="AB202" s="36" t="s">
        <v>352</v>
      </c>
      <c r="AC202" s="36" t="s">
        <v>352</v>
      </c>
      <c r="AD202" s="36" t="s">
        <v>352</v>
      </c>
      <c r="AE202" s="36" t="s">
        <v>352</v>
      </c>
    </row>
    <row r="203" spans="1:31" ht="15" customHeight="1" x14ac:dyDescent="0.25">
      <c r="A203" s="38">
        <v>1200</v>
      </c>
      <c r="B203" s="39">
        <v>2802</v>
      </c>
      <c r="C203" s="39" t="s">
        <v>529</v>
      </c>
      <c r="D203" s="39" t="s">
        <v>530</v>
      </c>
      <c r="E203" s="39" t="s">
        <v>57</v>
      </c>
      <c r="F203" s="39" t="s">
        <v>70</v>
      </c>
      <c r="G203" s="40" t="str">
        <f>IF(LEN(ElecLkUp[[#This Row],[Ledger Code]])&gt;3,"AR"&amp;ElecLkUp[[#This Row],[Ledger Code]],"TBC")</f>
        <v>AR2802</v>
      </c>
      <c r="H203" s="115">
        <v>0</v>
      </c>
      <c r="I203" s="115">
        <v>14430</v>
      </c>
      <c r="J203" s="115">
        <v>8404</v>
      </c>
      <c r="K203" s="115">
        <v>8868</v>
      </c>
      <c r="L203" s="115">
        <v>7952</v>
      </c>
      <c r="M203" s="115">
        <v>8406</v>
      </c>
      <c r="N203" s="115">
        <v>3340</v>
      </c>
      <c r="O203" s="115">
        <v>12499</v>
      </c>
      <c r="P203" s="42">
        <v>0</v>
      </c>
      <c r="Q203" s="42">
        <v>1780.38</v>
      </c>
      <c r="R203" s="42">
        <v>1241.3800000000008</v>
      </c>
      <c r="S203" s="42">
        <v>425.14</v>
      </c>
      <c r="T203" s="42">
        <v>1866</v>
      </c>
      <c r="U203" s="42">
        <v>1197.92</v>
      </c>
      <c r="V203" s="42">
        <v>914.82999999999993</v>
      </c>
      <c r="W203" s="42">
        <v>1292.0999999999999</v>
      </c>
      <c r="X203" s="36">
        <v>0</v>
      </c>
      <c r="Y203" s="36">
        <v>14430</v>
      </c>
      <c r="Z203" s="36">
        <v>8404</v>
      </c>
      <c r="AA203" s="36">
        <v>8868</v>
      </c>
      <c r="AB203" s="36">
        <v>7952</v>
      </c>
      <c r="AC203" s="36">
        <v>8406</v>
      </c>
      <c r="AD203" s="36">
        <v>205309</v>
      </c>
      <c r="AE203" s="36">
        <v>186226</v>
      </c>
    </row>
    <row r="204" spans="1:31" ht="15" customHeight="1" x14ac:dyDescent="0.25">
      <c r="A204" s="38">
        <v>5961</v>
      </c>
      <c r="B204" s="39">
        <v>2681</v>
      </c>
      <c r="C204" s="39" t="s">
        <v>531</v>
      </c>
      <c r="D204" s="39" t="s">
        <v>532</v>
      </c>
      <c r="E204" s="39" t="s">
        <v>57</v>
      </c>
      <c r="F204" s="39" t="s">
        <v>70</v>
      </c>
      <c r="G204" s="40" t="str">
        <f>IF(LEN(ElecLkUp[[#This Row],[Ledger Code]])&gt;3,"AR"&amp;ElecLkUp[[#This Row],[Ledger Code]],"TBC")</f>
        <v>AR2681</v>
      </c>
      <c r="H204" s="115"/>
      <c r="I204" s="115"/>
      <c r="J204" s="115"/>
      <c r="K204" s="115"/>
      <c r="L204" s="115"/>
      <c r="M204" s="115"/>
      <c r="N204" s="115"/>
      <c r="O204" s="115"/>
      <c r="P204" s="42">
        <v>0</v>
      </c>
      <c r="Q204" s="42">
        <v>0</v>
      </c>
      <c r="R204" s="42">
        <v>0</v>
      </c>
      <c r="S204" s="42">
        <v>0</v>
      </c>
      <c r="T204" s="42">
        <v>0</v>
      </c>
      <c r="U204" s="42">
        <v>0</v>
      </c>
      <c r="V204" s="42">
        <v>0</v>
      </c>
      <c r="W204" s="42">
        <v>0</v>
      </c>
      <c r="X204" s="36" t="s">
        <v>352</v>
      </c>
      <c r="Y204" s="36" t="s">
        <v>352</v>
      </c>
      <c r="Z204" s="36" t="s">
        <v>352</v>
      </c>
      <c r="AA204" s="36" t="s">
        <v>352</v>
      </c>
      <c r="AB204" s="36" t="s">
        <v>352</v>
      </c>
      <c r="AC204" s="36" t="s">
        <v>352</v>
      </c>
      <c r="AD204" s="36" t="s">
        <v>352</v>
      </c>
      <c r="AE204" s="36" t="s">
        <v>352</v>
      </c>
    </row>
    <row r="205" spans="1:31" ht="15" customHeight="1" x14ac:dyDescent="0.25">
      <c r="A205" s="38">
        <v>1279</v>
      </c>
      <c r="B205" s="39">
        <v>2936</v>
      </c>
      <c r="C205" s="39" t="s">
        <v>533</v>
      </c>
      <c r="D205" s="39" t="s">
        <v>534</v>
      </c>
      <c r="E205" s="39" t="s">
        <v>57</v>
      </c>
      <c r="F205" s="39" t="s">
        <v>70</v>
      </c>
      <c r="G205" s="40" t="str">
        <f>IF(LEN(ElecLkUp[[#This Row],[Ledger Code]])&gt;3,"AR"&amp;ElecLkUp[[#This Row],[Ledger Code]],"TBC")</f>
        <v>AR2936</v>
      </c>
      <c r="H205" s="115">
        <v>32324.1</v>
      </c>
      <c r="I205" s="115">
        <v>35934.6</v>
      </c>
      <c r="J205" s="115">
        <v>38199</v>
      </c>
      <c r="K205" s="115">
        <v>35327.800000000003</v>
      </c>
      <c r="L205" s="115">
        <v>28357.5</v>
      </c>
      <c r="M205" s="115">
        <v>25940.5</v>
      </c>
      <c r="N205" s="115">
        <v>9203.2000000000007</v>
      </c>
      <c r="O205" s="115">
        <v>0</v>
      </c>
      <c r="P205" s="42">
        <v>0</v>
      </c>
      <c r="Q205" s="42">
        <v>10106.890000000001</v>
      </c>
      <c r="R205" s="42">
        <v>4682.8700000000017</v>
      </c>
      <c r="S205" s="42">
        <v>1082.920000000001</v>
      </c>
      <c r="T205" s="42">
        <v>8060.3600000000006</v>
      </c>
      <c r="U205" s="42">
        <v>3366.5400000000009</v>
      </c>
      <c r="V205" s="42">
        <v>3686.08</v>
      </c>
      <c r="W205" s="42">
        <v>1332.0000000000002</v>
      </c>
      <c r="X205" s="36">
        <v>32324.1</v>
      </c>
      <c r="Y205" s="36">
        <v>35934.6</v>
      </c>
      <c r="Z205" s="36">
        <v>38199</v>
      </c>
      <c r="AA205" s="36">
        <v>35327.800000000003</v>
      </c>
      <c r="AB205" s="36">
        <v>28357.5</v>
      </c>
      <c r="AC205" s="36">
        <v>25940.5</v>
      </c>
      <c r="AD205" s="36">
        <v>9203.2000000000007</v>
      </c>
      <c r="AE205" s="36">
        <v>0</v>
      </c>
    </row>
    <row r="206" spans="1:31" ht="15" customHeight="1" x14ac:dyDescent="0.25">
      <c r="A206" s="38">
        <v>6026</v>
      </c>
      <c r="B206" s="39">
        <v>2679</v>
      </c>
      <c r="C206" s="39" t="s">
        <v>535</v>
      </c>
      <c r="D206" s="39" t="s">
        <v>309</v>
      </c>
      <c r="E206" s="39" t="s">
        <v>57</v>
      </c>
      <c r="F206" s="39" t="s">
        <v>70</v>
      </c>
      <c r="G206" s="40" t="str">
        <f>IF(LEN(ElecLkUp[[#This Row],[Ledger Code]])&gt;3,"AR"&amp;ElecLkUp[[#This Row],[Ledger Code]],"TBC")</f>
        <v>AR2679</v>
      </c>
      <c r="H206" s="115"/>
      <c r="I206" s="115"/>
      <c r="J206" s="115"/>
      <c r="K206" s="115"/>
      <c r="L206" s="115"/>
      <c r="M206" s="115"/>
      <c r="N206" s="115"/>
      <c r="O206" s="115"/>
      <c r="P206" s="42">
        <v>0</v>
      </c>
      <c r="Q206" s="42">
        <v>0</v>
      </c>
      <c r="R206" s="42">
        <v>0</v>
      </c>
      <c r="S206" s="42">
        <v>0</v>
      </c>
      <c r="T206" s="42">
        <v>0</v>
      </c>
      <c r="U206" s="42">
        <v>0</v>
      </c>
      <c r="V206" s="42">
        <v>0</v>
      </c>
      <c r="W206" s="42">
        <v>0</v>
      </c>
      <c r="X206" s="36" t="s">
        <v>352</v>
      </c>
      <c r="Y206" s="36" t="s">
        <v>352</v>
      </c>
      <c r="Z206" s="36" t="s">
        <v>352</v>
      </c>
      <c r="AA206" s="36" t="s">
        <v>352</v>
      </c>
      <c r="AB206" s="36" t="s">
        <v>352</v>
      </c>
      <c r="AC206" s="36" t="s">
        <v>352</v>
      </c>
      <c r="AD206" s="36" t="s">
        <v>352</v>
      </c>
      <c r="AE206" s="36" t="s">
        <v>352</v>
      </c>
    </row>
    <row r="207" spans="1:31" ht="15" customHeight="1" x14ac:dyDescent="0.25">
      <c r="A207" s="38">
        <v>1269</v>
      </c>
      <c r="B207" s="39">
        <v>2905</v>
      </c>
      <c r="C207" s="39" t="s">
        <v>566</v>
      </c>
      <c r="D207" s="39" t="s">
        <v>567</v>
      </c>
      <c r="E207" s="39" t="s">
        <v>57</v>
      </c>
      <c r="F207" s="39" t="s">
        <v>70</v>
      </c>
      <c r="G207" s="40" t="str">
        <f>IF(LEN(ElecLkUp[[#This Row],[Ledger Code]])&gt;3,"AR"&amp;ElecLkUp[[#This Row],[Ledger Code]],"TBC")</f>
        <v>AR2905</v>
      </c>
      <c r="H207" s="115">
        <v>0</v>
      </c>
      <c r="I207" s="115">
        <v>73916</v>
      </c>
      <c r="J207" s="115">
        <v>46267</v>
      </c>
      <c r="K207" s="115">
        <v>47586</v>
      </c>
      <c r="L207" s="115">
        <v>48841</v>
      </c>
      <c r="M207" s="115">
        <v>42778</v>
      </c>
      <c r="N207" s="115">
        <v>16003</v>
      </c>
      <c r="O207" s="115">
        <v>46682</v>
      </c>
      <c r="P207" s="42">
        <v>499.34</v>
      </c>
      <c r="Q207" s="42">
        <v>7110.95</v>
      </c>
      <c r="R207" s="42">
        <v>5229.2099999999991</v>
      </c>
      <c r="S207" s="42">
        <v>7039.16</v>
      </c>
      <c r="T207" s="42">
        <v>5968.35</v>
      </c>
      <c r="U207" s="42">
        <v>5453.7099999999991</v>
      </c>
      <c r="V207" s="42">
        <v>5867.9499999999989</v>
      </c>
      <c r="W207" s="42">
        <v>4212.83</v>
      </c>
      <c r="X207" s="36">
        <v>0</v>
      </c>
      <c r="Y207" s="36">
        <v>73916</v>
      </c>
      <c r="Z207" s="36">
        <v>46267</v>
      </c>
      <c r="AA207" s="36">
        <v>47586</v>
      </c>
      <c r="AB207" s="36">
        <v>48841</v>
      </c>
      <c r="AC207" s="36">
        <v>42778</v>
      </c>
      <c r="AD207" s="36">
        <v>217972</v>
      </c>
      <c r="AE207" s="36">
        <v>220409</v>
      </c>
    </row>
    <row r="208" spans="1:31" ht="15" customHeight="1" x14ac:dyDescent="0.25">
      <c r="A208" s="38">
        <v>1787</v>
      </c>
      <c r="B208" s="39">
        <v>3023</v>
      </c>
      <c r="C208" s="39" t="s">
        <v>536</v>
      </c>
      <c r="D208" s="39" t="s">
        <v>537</v>
      </c>
      <c r="E208" s="39" t="s">
        <v>57</v>
      </c>
      <c r="F208" s="39" t="s">
        <v>70</v>
      </c>
      <c r="G208" s="40" t="str">
        <f>IF(LEN(ElecLkUp[[#This Row],[Ledger Code]])&gt;3,"AR"&amp;ElecLkUp[[#This Row],[Ledger Code]],"TBC")</f>
        <v>AR3023</v>
      </c>
      <c r="H208" s="115">
        <v>743</v>
      </c>
      <c r="I208" s="115">
        <v>112513</v>
      </c>
      <c r="J208" s="115">
        <v>94467</v>
      </c>
      <c r="K208" s="115">
        <v>77974</v>
      </c>
      <c r="L208" s="115">
        <v>70617</v>
      </c>
      <c r="M208" s="115">
        <v>70383</v>
      </c>
      <c r="N208" s="115">
        <v>16865</v>
      </c>
      <c r="O208" s="115">
        <v>88378</v>
      </c>
      <c r="P208" s="42">
        <v>1237.52</v>
      </c>
      <c r="Q208" s="42">
        <v>13927.01</v>
      </c>
      <c r="R208" s="42">
        <v>11227.009999999998</v>
      </c>
      <c r="S208" s="42">
        <v>12712.41</v>
      </c>
      <c r="T208" s="42">
        <v>9457.9500000000007</v>
      </c>
      <c r="U208" s="42">
        <v>9720.659999999998</v>
      </c>
      <c r="V208" s="42">
        <v>6079.329999999999</v>
      </c>
      <c r="W208" s="42">
        <v>11540</v>
      </c>
      <c r="X208" s="36">
        <v>743</v>
      </c>
      <c r="Y208" s="36">
        <v>112513</v>
      </c>
      <c r="Z208" s="36">
        <v>94467</v>
      </c>
      <c r="AA208" s="36">
        <v>77974</v>
      </c>
      <c r="AB208" s="36">
        <v>70617</v>
      </c>
      <c r="AC208" s="36">
        <v>70383</v>
      </c>
      <c r="AD208" s="36">
        <v>16865</v>
      </c>
      <c r="AE208" s="36">
        <v>88378</v>
      </c>
    </row>
    <row r="209" spans="1:31" ht="15" customHeight="1" x14ac:dyDescent="0.25">
      <c r="A209" s="38">
        <v>1765</v>
      </c>
      <c r="B209" s="39">
        <v>3000</v>
      </c>
      <c r="C209" s="39" t="s">
        <v>538</v>
      </c>
      <c r="D209" s="39" t="s">
        <v>539</v>
      </c>
      <c r="E209" s="39" t="s">
        <v>57</v>
      </c>
      <c r="F209" s="39" t="s">
        <v>70</v>
      </c>
      <c r="G209" s="40" t="str">
        <f>IF(LEN(ElecLkUp[[#This Row],[Ledger Code]])&gt;3,"AR"&amp;ElecLkUp[[#This Row],[Ledger Code]],"TBC")</f>
        <v>AR3000</v>
      </c>
      <c r="H209" s="115">
        <v>80920</v>
      </c>
      <c r="I209" s="115">
        <v>67740</v>
      </c>
      <c r="J209" s="115">
        <v>83690</v>
      </c>
      <c r="K209" s="115">
        <v>87280</v>
      </c>
      <c r="L209" s="115">
        <v>77880</v>
      </c>
      <c r="M209" s="115">
        <v>73250</v>
      </c>
      <c r="N209" s="115">
        <v>88910</v>
      </c>
      <c r="O209" s="115">
        <v>88360</v>
      </c>
      <c r="P209" s="42">
        <v>7354.49</v>
      </c>
      <c r="Q209" s="42">
        <v>2697.66</v>
      </c>
      <c r="R209" s="42">
        <v>11863.310000000001</v>
      </c>
      <c r="S209" s="42">
        <v>10913.27</v>
      </c>
      <c r="T209" s="42">
        <v>5505.99</v>
      </c>
      <c r="U209" s="42">
        <v>5101.63</v>
      </c>
      <c r="V209" s="42">
        <v>-10607.620000000003</v>
      </c>
      <c r="W209" s="42">
        <v>1356.5800000000008</v>
      </c>
      <c r="X209" s="36">
        <v>80920</v>
      </c>
      <c r="Y209" s="36">
        <v>67740</v>
      </c>
      <c r="Z209" s="36">
        <v>83690</v>
      </c>
      <c r="AA209" s="36">
        <v>87280</v>
      </c>
      <c r="AB209" s="36">
        <v>77880</v>
      </c>
      <c r="AC209" s="36">
        <v>73250</v>
      </c>
      <c r="AD209" s="36">
        <v>88910</v>
      </c>
      <c r="AE209" s="36">
        <v>88360</v>
      </c>
    </row>
    <row r="210" spans="1:31" ht="15" customHeight="1" x14ac:dyDescent="0.25">
      <c r="A210" s="38">
        <v>6055</v>
      </c>
      <c r="B210" s="39" t="s">
        <v>387</v>
      </c>
      <c r="C210" s="39" t="s">
        <v>540</v>
      </c>
      <c r="D210" s="39" t="s">
        <v>541</v>
      </c>
      <c r="E210" s="39" t="s">
        <v>57</v>
      </c>
      <c r="F210" s="39" t="s">
        <v>70</v>
      </c>
      <c r="G210" s="40" t="str">
        <f>IF(LEN(ElecLkUp[[#This Row],[Ledger Code]])&gt;3,"AR"&amp;ElecLkUp[[#This Row],[Ledger Code]],"TBC")</f>
        <v>TBC</v>
      </c>
      <c r="H210" s="115"/>
      <c r="I210" s="115"/>
      <c r="J210" s="115"/>
      <c r="K210" s="115"/>
      <c r="L210" s="115"/>
      <c r="M210" s="115"/>
      <c r="N210" s="115"/>
      <c r="O210" s="115"/>
      <c r="P210" s="42">
        <v>0</v>
      </c>
      <c r="Q210" s="42">
        <v>0</v>
      </c>
      <c r="R210" s="42">
        <v>0</v>
      </c>
      <c r="S210" s="42">
        <v>0</v>
      </c>
      <c r="T210" s="42">
        <v>0</v>
      </c>
      <c r="U210" s="42">
        <v>0</v>
      </c>
      <c r="V210" s="42">
        <v>0</v>
      </c>
      <c r="W210" s="42">
        <v>0</v>
      </c>
      <c r="X210" s="36" t="s">
        <v>352</v>
      </c>
      <c r="Y210" s="36" t="s">
        <v>352</v>
      </c>
      <c r="Z210" s="36" t="s">
        <v>352</v>
      </c>
      <c r="AA210" s="36" t="s">
        <v>352</v>
      </c>
      <c r="AB210" s="36" t="s">
        <v>352</v>
      </c>
      <c r="AC210" s="36" t="s">
        <v>352</v>
      </c>
      <c r="AD210" s="36" t="s">
        <v>352</v>
      </c>
      <c r="AE210" s="36" t="s">
        <v>352</v>
      </c>
    </row>
    <row r="211" spans="1:31" ht="15" customHeight="1" x14ac:dyDescent="0.25">
      <c r="A211" s="38">
        <v>1850</v>
      </c>
      <c r="B211" s="39">
        <v>3064</v>
      </c>
      <c r="C211" s="39" t="s">
        <v>542</v>
      </c>
      <c r="D211" s="39" t="s">
        <v>543</v>
      </c>
      <c r="E211" s="39" t="s">
        <v>57</v>
      </c>
      <c r="F211" s="39" t="s">
        <v>70</v>
      </c>
      <c r="G211" s="40" t="str">
        <f>IF(LEN(ElecLkUp[[#This Row],[Ledger Code]])&gt;3,"AR"&amp;ElecLkUp[[#This Row],[Ledger Code]],"TBC")</f>
        <v>AR3064</v>
      </c>
      <c r="H211" s="115">
        <v>0</v>
      </c>
      <c r="I211" s="115">
        <v>0</v>
      </c>
      <c r="J211" s="115">
        <v>0</v>
      </c>
      <c r="K211" s="115">
        <v>0</v>
      </c>
      <c r="L211" s="115">
        <v>19844</v>
      </c>
      <c r="M211" s="115">
        <v>24678</v>
      </c>
      <c r="N211" s="115">
        <v>17361</v>
      </c>
      <c r="O211" s="115">
        <v>27331</v>
      </c>
      <c r="P211" s="42">
        <v>0</v>
      </c>
      <c r="Q211" s="42">
        <v>4808.97</v>
      </c>
      <c r="R211" s="42">
        <v>8378.3700000000008</v>
      </c>
      <c r="S211" s="42">
        <v>3498.7399999999961</v>
      </c>
      <c r="T211" s="42">
        <v>4165.4799999999996</v>
      </c>
      <c r="U211" s="42">
        <v>3174.4300000000012</v>
      </c>
      <c r="V211" s="42">
        <v>7400.4500000000007</v>
      </c>
      <c r="W211" s="42">
        <v>3441.37</v>
      </c>
      <c r="X211" s="36" t="s">
        <v>352</v>
      </c>
      <c r="Y211" s="36" t="s">
        <v>352</v>
      </c>
      <c r="Z211" s="36" t="s">
        <v>352</v>
      </c>
      <c r="AA211" s="36" t="s">
        <v>352</v>
      </c>
      <c r="AB211" s="36">
        <v>19844</v>
      </c>
      <c r="AC211" s="36">
        <v>24678</v>
      </c>
      <c r="AD211" s="36">
        <v>219330</v>
      </c>
      <c r="AE211" s="36">
        <v>201058</v>
      </c>
    </row>
    <row r="212" spans="1:31" ht="15" customHeight="1" x14ac:dyDescent="0.25">
      <c r="A212" s="38">
        <v>1820</v>
      </c>
      <c r="B212" s="39">
        <v>3106</v>
      </c>
      <c r="C212" s="39" t="s">
        <v>544</v>
      </c>
      <c r="D212" s="39" t="s">
        <v>545</v>
      </c>
      <c r="E212" s="39" t="s">
        <v>57</v>
      </c>
      <c r="F212" s="39" t="s">
        <v>70</v>
      </c>
      <c r="G212" s="40" t="str">
        <f>IF(LEN(ElecLkUp[[#This Row],[Ledger Code]])&gt;3,"AR"&amp;ElecLkUp[[#This Row],[Ledger Code]],"TBC")</f>
        <v>AR3106</v>
      </c>
      <c r="H212" s="115">
        <v>0</v>
      </c>
      <c r="I212" s="115">
        <v>28914</v>
      </c>
      <c r="J212" s="115">
        <v>39805</v>
      </c>
      <c r="K212" s="115">
        <v>39291</v>
      </c>
      <c r="L212" s="115">
        <v>36438</v>
      </c>
      <c r="M212" s="115">
        <v>35048</v>
      </c>
      <c r="N212" s="115">
        <v>54030</v>
      </c>
      <c r="O212" s="115">
        <v>44772</v>
      </c>
      <c r="P212" s="42">
        <v>0</v>
      </c>
      <c r="Q212" s="42">
        <v>18069.649999999998</v>
      </c>
      <c r="R212" s="42">
        <v>5019.9399999999996</v>
      </c>
      <c r="S212" s="42">
        <v>4955.25</v>
      </c>
      <c r="T212" s="42">
        <v>4663.8500000000004</v>
      </c>
      <c r="U212" s="42">
        <v>4524.800000000002</v>
      </c>
      <c r="V212" s="42">
        <v>8530.18</v>
      </c>
      <c r="W212" s="42">
        <v>3923.2699999999995</v>
      </c>
      <c r="X212" s="36">
        <v>0</v>
      </c>
      <c r="Y212" s="36">
        <v>28914</v>
      </c>
      <c r="Z212" s="36">
        <v>39805</v>
      </c>
      <c r="AA212" s="36">
        <v>39291</v>
      </c>
      <c r="AB212" s="36">
        <v>36438</v>
      </c>
      <c r="AC212" s="36">
        <v>35048</v>
      </c>
      <c r="AD212" s="36">
        <v>255999</v>
      </c>
      <c r="AE212" s="36">
        <v>218499</v>
      </c>
    </row>
    <row r="213" spans="1:31" ht="15" customHeight="1" x14ac:dyDescent="0.25">
      <c r="A213" s="38">
        <v>3177</v>
      </c>
      <c r="B213" s="39">
        <v>3753</v>
      </c>
      <c r="C213" s="39" t="s">
        <v>546</v>
      </c>
      <c r="D213" s="39" t="s">
        <v>547</v>
      </c>
      <c r="E213" s="39" t="s">
        <v>57</v>
      </c>
      <c r="F213" s="39" t="s">
        <v>548</v>
      </c>
      <c r="G213" s="40" t="str">
        <f>IF(LEN(ElecLkUp[[#This Row],[Ledger Code]])&gt;3,"AR"&amp;ElecLkUp[[#This Row],[Ledger Code]],"TBC")</f>
        <v>AR3753</v>
      </c>
      <c r="H213" s="115"/>
      <c r="I213" s="115"/>
      <c r="J213" s="115"/>
      <c r="K213" s="115"/>
      <c r="L213" s="115"/>
      <c r="M213" s="115"/>
      <c r="N213" s="115"/>
      <c r="O213" s="115"/>
      <c r="P213" s="42">
        <v>0</v>
      </c>
      <c r="Q213" s="42">
        <v>0</v>
      </c>
      <c r="R213" s="42">
        <v>0</v>
      </c>
      <c r="S213" s="42">
        <v>0</v>
      </c>
      <c r="T213" s="42">
        <v>0</v>
      </c>
      <c r="U213" s="42">
        <v>0</v>
      </c>
      <c r="V213" s="42">
        <v>0</v>
      </c>
      <c r="W213" s="42">
        <v>0</v>
      </c>
      <c r="X213" s="36" t="s">
        <v>352</v>
      </c>
      <c r="Y213" s="36" t="s">
        <v>352</v>
      </c>
      <c r="Z213" s="36" t="s">
        <v>352</v>
      </c>
      <c r="AA213" s="36" t="s">
        <v>352</v>
      </c>
      <c r="AB213" s="36" t="s">
        <v>352</v>
      </c>
      <c r="AC213" s="36" t="s">
        <v>352</v>
      </c>
      <c r="AD213" s="36" t="s">
        <v>352</v>
      </c>
      <c r="AE213" s="36" t="s">
        <v>352</v>
      </c>
    </row>
    <row r="214" spans="1:31" ht="15" customHeight="1" x14ac:dyDescent="0.25">
      <c r="A214" s="38" t="s">
        <v>627</v>
      </c>
      <c r="B214" s="39" t="s">
        <v>387</v>
      </c>
      <c r="C214" s="39" t="s">
        <v>549</v>
      </c>
      <c r="D214" s="39" t="s">
        <v>550</v>
      </c>
      <c r="E214" s="39" t="s">
        <v>57</v>
      </c>
      <c r="F214" s="39" t="s">
        <v>548</v>
      </c>
      <c r="G214" s="40" t="str">
        <f>IF(LEN(ElecLkUp[[#This Row],[Ledger Code]])&gt;3,"AR"&amp;ElecLkUp[[#This Row],[Ledger Code]],"TBC")</f>
        <v>TBC</v>
      </c>
      <c r="H214" s="115"/>
      <c r="I214" s="115"/>
      <c r="J214" s="115"/>
      <c r="K214" s="115"/>
      <c r="L214" s="115"/>
      <c r="M214" s="115"/>
      <c r="N214" s="115"/>
      <c r="O214" s="115"/>
      <c r="P214" s="42">
        <v>0</v>
      </c>
      <c r="Q214" s="42">
        <v>0</v>
      </c>
      <c r="R214" s="42">
        <v>0</v>
      </c>
      <c r="S214" s="42">
        <v>0</v>
      </c>
      <c r="T214" s="42">
        <v>0</v>
      </c>
      <c r="U214" s="42">
        <v>0</v>
      </c>
      <c r="V214" s="42">
        <v>0</v>
      </c>
      <c r="W214" s="42">
        <v>0</v>
      </c>
      <c r="X214" s="36" t="s">
        <v>352</v>
      </c>
      <c r="Y214" s="36" t="s">
        <v>352</v>
      </c>
      <c r="Z214" s="36" t="s">
        <v>352</v>
      </c>
      <c r="AA214" s="36" t="s">
        <v>352</v>
      </c>
      <c r="AB214" s="36" t="s">
        <v>352</v>
      </c>
      <c r="AC214" s="36" t="s">
        <v>352</v>
      </c>
      <c r="AD214" s="36" t="s">
        <v>352</v>
      </c>
      <c r="AE214" s="36" t="s">
        <v>352</v>
      </c>
    </row>
    <row r="215" spans="1:31" ht="15" customHeight="1" x14ac:dyDescent="0.25">
      <c r="A215" s="38">
        <v>3386</v>
      </c>
      <c r="B215" s="39">
        <v>3688</v>
      </c>
      <c r="C215" s="39" t="s">
        <v>551</v>
      </c>
      <c r="D215" s="39" t="s">
        <v>552</v>
      </c>
      <c r="E215" s="39" t="s">
        <v>57</v>
      </c>
      <c r="F215" s="39" t="s">
        <v>548</v>
      </c>
      <c r="G215" s="40" t="str">
        <f>IF(LEN(ElecLkUp[[#This Row],[Ledger Code]])&gt;3,"AR"&amp;ElecLkUp[[#This Row],[Ledger Code]],"TBC")</f>
        <v>AR3688</v>
      </c>
      <c r="H215" s="115"/>
      <c r="I215" s="115"/>
      <c r="J215" s="115"/>
      <c r="K215" s="115"/>
      <c r="L215" s="115"/>
      <c r="M215" s="115"/>
      <c r="N215" s="115"/>
      <c r="O215" s="115"/>
      <c r="P215" s="42">
        <v>9233.0999999999985</v>
      </c>
      <c r="Q215" s="42">
        <v>10763.73</v>
      </c>
      <c r="R215" s="42">
        <v>8257.489999999998</v>
      </c>
      <c r="S215" s="42">
        <v>22667.25</v>
      </c>
      <c r="T215" s="42">
        <v>4780.22</v>
      </c>
      <c r="U215" s="42">
        <v>16279.570000000003</v>
      </c>
      <c r="V215" s="42">
        <v>7979.1500000000033</v>
      </c>
      <c r="W215" s="42">
        <v>12036.159999999996</v>
      </c>
      <c r="X215" s="36" t="s">
        <v>352</v>
      </c>
      <c r="Y215" s="36" t="s">
        <v>352</v>
      </c>
      <c r="Z215" s="36" t="s">
        <v>352</v>
      </c>
      <c r="AA215" s="36" t="s">
        <v>352</v>
      </c>
      <c r="AB215" s="36" t="s">
        <v>352</v>
      </c>
      <c r="AC215" s="36" t="s">
        <v>352</v>
      </c>
      <c r="AD215" s="36" t="s">
        <v>352</v>
      </c>
      <c r="AE215" s="36" t="s">
        <v>352</v>
      </c>
    </row>
    <row r="216" spans="1:31" ht="15" customHeight="1" x14ac:dyDescent="0.25">
      <c r="A216" s="38">
        <v>3592</v>
      </c>
      <c r="B216" s="39">
        <v>3901</v>
      </c>
      <c r="C216" s="39" t="s">
        <v>553</v>
      </c>
      <c r="D216" s="39" t="s">
        <v>554</v>
      </c>
      <c r="E216" s="39" t="s">
        <v>57</v>
      </c>
      <c r="F216" s="39" t="s">
        <v>548</v>
      </c>
      <c r="G216" s="40" t="str">
        <f>IF(LEN(ElecLkUp[[#This Row],[Ledger Code]])&gt;3,"AR"&amp;ElecLkUp[[#This Row],[Ledger Code]],"TBC")</f>
        <v>AR3901</v>
      </c>
      <c r="H216" s="115"/>
      <c r="I216" s="115"/>
      <c r="J216" s="115"/>
      <c r="K216" s="115"/>
      <c r="L216" s="115"/>
      <c r="M216" s="115"/>
      <c r="N216" s="115"/>
      <c r="O216" s="115"/>
      <c r="P216" s="42">
        <v>0</v>
      </c>
      <c r="Q216" s="42">
        <v>0</v>
      </c>
      <c r="R216" s="42">
        <v>0</v>
      </c>
      <c r="S216" s="42">
        <v>0</v>
      </c>
      <c r="T216" s="42">
        <v>0</v>
      </c>
      <c r="U216" s="42">
        <v>0</v>
      </c>
      <c r="V216" s="42">
        <v>0</v>
      </c>
      <c r="W216" s="42">
        <v>0</v>
      </c>
      <c r="X216" s="36" t="s">
        <v>352</v>
      </c>
      <c r="Y216" s="36" t="s">
        <v>352</v>
      </c>
      <c r="Z216" s="36" t="s">
        <v>352</v>
      </c>
      <c r="AA216" s="36" t="s">
        <v>352</v>
      </c>
      <c r="AB216" s="36" t="s">
        <v>352</v>
      </c>
      <c r="AC216" s="36" t="s">
        <v>352</v>
      </c>
      <c r="AD216" s="36" t="s">
        <v>352</v>
      </c>
      <c r="AE216" s="36" t="s">
        <v>352</v>
      </c>
    </row>
    <row r="217" spans="1:31" ht="15" customHeight="1" x14ac:dyDescent="0.25">
      <c r="A217" s="38">
        <v>3706</v>
      </c>
      <c r="B217" s="39">
        <v>3916</v>
      </c>
      <c r="C217" s="39" t="s">
        <v>555</v>
      </c>
      <c r="D217" s="39" t="s">
        <v>556</v>
      </c>
      <c r="E217" s="39" t="s">
        <v>57</v>
      </c>
      <c r="F217" s="39" t="s">
        <v>548</v>
      </c>
      <c r="G217" s="40" t="str">
        <f>IF(LEN(ElecLkUp[[#This Row],[Ledger Code]])&gt;3,"AR"&amp;ElecLkUp[[#This Row],[Ledger Code]],"TBC")</f>
        <v>AR3916</v>
      </c>
      <c r="H217" s="115"/>
      <c r="I217" s="115"/>
      <c r="J217" s="115"/>
      <c r="K217" s="115"/>
      <c r="L217" s="115"/>
      <c r="M217" s="115"/>
      <c r="N217" s="115"/>
      <c r="O217" s="115"/>
      <c r="P217" s="42">
        <v>0</v>
      </c>
      <c r="Q217" s="42">
        <v>0</v>
      </c>
      <c r="R217" s="42">
        <v>0</v>
      </c>
      <c r="S217" s="42">
        <v>0</v>
      </c>
      <c r="T217" s="42">
        <v>0</v>
      </c>
      <c r="U217" s="42">
        <v>0</v>
      </c>
      <c r="V217" s="42">
        <v>0</v>
      </c>
      <c r="W217" s="42">
        <v>0</v>
      </c>
      <c r="X217" s="36" t="s">
        <v>352</v>
      </c>
      <c r="Y217" s="36" t="s">
        <v>352</v>
      </c>
      <c r="Z217" s="36" t="s">
        <v>352</v>
      </c>
      <c r="AA217" s="36" t="s">
        <v>352</v>
      </c>
      <c r="AB217" s="36" t="s">
        <v>352</v>
      </c>
      <c r="AC217" s="36" t="s">
        <v>352</v>
      </c>
      <c r="AD217" s="36" t="s">
        <v>352</v>
      </c>
      <c r="AE217" s="36" t="s">
        <v>352</v>
      </c>
    </row>
    <row r="218" spans="1:31" ht="15" customHeight="1" x14ac:dyDescent="0.25">
      <c r="A218" s="38">
        <v>3718</v>
      </c>
      <c r="B218" s="39">
        <v>3965</v>
      </c>
      <c r="C218" s="39" t="s">
        <v>557</v>
      </c>
      <c r="D218" s="39" t="s">
        <v>558</v>
      </c>
      <c r="E218" s="39" t="s">
        <v>57</v>
      </c>
      <c r="F218" s="39" t="s">
        <v>548</v>
      </c>
      <c r="G218" s="40" t="str">
        <f>IF(LEN(ElecLkUp[[#This Row],[Ledger Code]])&gt;3,"AR"&amp;ElecLkUp[[#This Row],[Ledger Code]],"TBC")</f>
        <v>AR3965</v>
      </c>
      <c r="H218" s="115">
        <v>0</v>
      </c>
      <c r="I218" s="115">
        <v>0</v>
      </c>
      <c r="J218" s="115">
        <v>93134</v>
      </c>
      <c r="K218" s="115">
        <v>120698</v>
      </c>
      <c r="L218" s="115">
        <v>72010</v>
      </c>
      <c r="M218" s="115">
        <v>61131</v>
      </c>
      <c r="N218" s="115">
        <v>41943</v>
      </c>
      <c r="O218" s="115">
        <v>-25326</v>
      </c>
      <c r="P218" s="42">
        <v>2709.5900000000006</v>
      </c>
      <c r="Q218" s="42">
        <v>472.61</v>
      </c>
      <c r="R218" s="42">
        <v>22539.410000000003</v>
      </c>
      <c r="S218" s="42">
        <v>14789.04</v>
      </c>
      <c r="T218" s="42">
        <v>-554.35000000000218</v>
      </c>
      <c r="U218" s="42">
        <v>16504.14</v>
      </c>
      <c r="V218" s="42">
        <v>28958.190000000002</v>
      </c>
      <c r="W218" s="42">
        <v>5567.86</v>
      </c>
      <c r="X218" s="36">
        <v>0</v>
      </c>
      <c r="Y218" s="36">
        <v>0</v>
      </c>
      <c r="Z218" s="36">
        <v>0</v>
      </c>
      <c r="AA218" s="36">
        <v>17739</v>
      </c>
      <c r="AB218" s="36">
        <v>4619</v>
      </c>
      <c r="AC218" s="36">
        <v>5022</v>
      </c>
      <c r="AD218" s="36">
        <v>204158</v>
      </c>
      <c r="AE218" s="36">
        <v>180847</v>
      </c>
    </row>
    <row r="219" spans="1:31" ht="15" customHeight="1" x14ac:dyDescent="0.25">
      <c r="A219" s="38">
        <v>3775</v>
      </c>
      <c r="B219" s="39">
        <v>3876</v>
      </c>
      <c r="C219" s="39" t="s">
        <v>559</v>
      </c>
      <c r="D219" s="39" t="s">
        <v>560</v>
      </c>
      <c r="E219" s="39" t="s">
        <v>57</v>
      </c>
      <c r="F219" s="39" t="s">
        <v>548</v>
      </c>
      <c r="G219" s="40" t="str">
        <f>IF(LEN(ElecLkUp[[#This Row],[Ledger Code]])&gt;3,"AR"&amp;ElecLkUp[[#This Row],[Ledger Code]],"TBC")</f>
        <v>AR3876</v>
      </c>
      <c r="H219" s="115"/>
      <c r="I219" s="115"/>
      <c r="J219" s="115"/>
      <c r="K219" s="115"/>
      <c r="L219" s="115"/>
      <c r="M219" s="115"/>
      <c r="N219" s="115"/>
      <c r="O219" s="115"/>
      <c r="P219" s="42">
        <v>0</v>
      </c>
      <c r="Q219" s="42">
        <v>0</v>
      </c>
      <c r="R219" s="42">
        <v>0</v>
      </c>
      <c r="S219" s="42">
        <v>0</v>
      </c>
      <c r="T219" s="42">
        <v>0</v>
      </c>
      <c r="U219" s="42">
        <v>0</v>
      </c>
      <c r="V219" s="42">
        <v>0</v>
      </c>
      <c r="W219" s="42">
        <v>0</v>
      </c>
      <c r="X219" s="36" t="s">
        <v>352</v>
      </c>
      <c r="Y219" s="36" t="s">
        <v>352</v>
      </c>
      <c r="Z219" s="36" t="s">
        <v>352</v>
      </c>
      <c r="AA219" s="36" t="s">
        <v>352</v>
      </c>
      <c r="AB219" s="36" t="s">
        <v>352</v>
      </c>
      <c r="AC219" s="36" t="s">
        <v>352</v>
      </c>
      <c r="AD219" s="36" t="s">
        <v>352</v>
      </c>
      <c r="AE219" s="36" t="s">
        <v>352</v>
      </c>
    </row>
    <row r="220" spans="1:31" ht="15" customHeight="1" x14ac:dyDescent="0.25">
      <c r="A220" s="38">
        <v>3765</v>
      </c>
      <c r="B220" s="39">
        <v>3868</v>
      </c>
      <c r="C220" s="39" t="s">
        <v>568</v>
      </c>
      <c r="D220" s="39" t="s">
        <v>569</v>
      </c>
      <c r="E220" s="39" t="s">
        <v>57</v>
      </c>
      <c r="F220" s="39" t="s">
        <v>548</v>
      </c>
      <c r="G220" s="40" t="str">
        <f>IF(LEN(ElecLkUp[[#This Row],[Ledger Code]])&gt;3,"AR"&amp;ElecLkUp[[#This Row],[Ledger Code]],"TBC")</f>
        <v>AR3868</v>
      </c>
      <c r="H220" s="115"/>
      <c r="I220" s="115"/>
      <c r="J220" s="115"/>
      <c r="K220" s="115"/>
      <c r="L220" s="115"/>
      <c r="M220" s="115"/>
      <c r="N220" s="115"/>
      <c r="O220" s="115"/>
      <c r="P220" s="42">
        <v>0</v>
      </c>
      <c r="Q220" s="42">
        <v>2426.6899999999996</v>
      </c>
      <c r="R220" s="42">
        <v>4923.0999999999995</v>
      </c>
      <c r="S220" s="42">
        <v>3615.96</v>
      </c>
      <c r="T220" s="42">
        <v>3643.83</v>
      </c>
      <c r="U220" s="42">
        <v>2522.2299999999996</v>
      </c>
      <c r="V220" s="42">
        <v>5443.4499999999989</v>
      </c>
      <c r="W220" s="42">
        <v>2587.33</v>
      </c>
      <c r="X220" s="36" t="s">
        <v>352</v>
      </c>
      <c r="Y220" s="36" t="s">
        <v>352</v>
      </c>
      <c r="Z220" s="36" t="s">
        <v>352</v>
      </c>
      <c r="AA220" s="36" t="s">
        <v>352</v>
      </c>
      <c r="AB220" s="36" t="s">
        <v>352</v>
      </c>
      <c r="AC220" s="36" t="s">
        <v>352</v>
      </c>
      <c r="AD220" s="36" t="s">
        <v>352</v>
      </c>
      <c r="AE220" s="36" t="s">
        <v>352</v>
      </c>
    </row>
    <row r="221" spans="1:31" ht="15" customHeight="1" x14ac:dyDescent="0.25">
      <c r="A221" s="38">
        <v>3086</v>
      </c>
      <c r="B221" s="39">
        <v>8443</v>
      </c>
      <c r="C221" s="39" t="s">
        <v>571</v>
      </c>
      <c r="D221" s="39" t="s">
        <v>572</v>
      </c>
      <c r="E221" s="39" t="s">
        <v>26</v>
      </c>
      <c r="F221" s="39" t="s">
        <v>573</v>
      </c>
      <c r="G221" s="40" t="str">
        <f>IF(LEN(ElecLkUp[[#This Row],[Ledger Code]])&gt;3,"AR"&amp;ElecLkUp[[#This Row],[Ledger Code]],"TBC")</f>
        <v>AR8443</v>
      </c>
      <c r="H221" s="115">
        <v>0</v>
      </c>
      <c r="I221" s="115">
        <v>7778</v>
      </c>
      <c r="J221" s="115">
        <v>1439</v>
      </c>
      <c r="K221" s="115">
        <v>14504</v>
      </c>
      <c r="L221" s="115">
        <v>0</v>
      </c>
      <c r="M221" s="115">
        <v>5893</v>
      </c>
      <c r="N221" s="115">
        <v>1824</v>
      </c>
      <c r="O221" s="115">
        <v>4895</v>
      </c>
      <c r="P221" s="42">
        <v>412.99</v>
      </c>
      <c r="Q221" s="42">
        <v>768.7</v>
      </c>
      <c r="R221" s="42">
        <v>-156.50000000000023</v>
      </c>
      <c r="S221" s="42">
        <v>331.27000000000004</v>
      </c>
      <c r="T221" s="42">
        <v>1947.0799999999997</v>
      </c>
      <c r="U221" s="42">
        <v>94.929999999999723</v>
      </c>
      <c r="V221" s="42">
        <v>319.00000000000023</v>
      </c>
      <c r="W221" s="42">
        <v>728.07999999999993</v>
      </c>
      <c r="X221" s="36">
        <v>0</v>
      </c>
      <c r="Y221" s="36">
        <v>7778</v>
      </c>
      <c r="Z221" s="36">
        <v>1439</v>
      </c>
      <c r="AA221" s="36">
        <v>14504</v>
      </c>
      <c r="AB221" s="36">
        <v>0</v>
      </c>
      <c r="AC221" s="36">
        <v>5893</v>
      </c>
      <c r="AD221" s="36">
        <v>203793</v>
      </c>
      <c r="AE221" s="36">
        <v>178622</v>
      </c>
    </row>
    <row r="222" spans="1:31" ht="15" customHeight="1" x14ac:dyDescent="0.25">
      <c r="A222" s="38">
        <v>3105</v>
      </c>
      <c r="B222" s="39">
        <v>8461</v>
      </c>
      <c r="C222" s="39" t="s">
        <v>574</v>
      </c>
      <c r="D222" s="39" t="s">
        <v>575</v>
      </c>
      <c r="E222" s="39" t="s">
        <v>26</v>
      </c>
      <c r="F222" s="39" t="s">
        <v>573</v>
      </c>
      <c r="G222" s="40" t="str">
        <f>IF(LEN(ElecLkUp[[#This Row],[Ledger Code]])&gt;3,"AR"&amp;ElecLkUp[[#This Row],[Ledger Code]],"TBC")</f>
        <v>AR8461</v>
      </c>
      <c r="H222" s="115"/>
      <c r="I222" s="115"/>
      <c r="J222" s="115"/>
      <c r="K222" s="115"/>
      <c r="L222" s="115"/>
      <c r="M222" s="115"/>
      <c r="N222" s="115"/>
      <c r="O222" s="115"/>
      <c r="P222" s="42">
        <v>0</v>
      </c>
      <c r="Q222" s="42">
        <v>1521.1699999999998</v>
      </c>
      <c r="R222" s="42">
        <v>1608.1599999999996</v>
      </c>
      <c r="S222" s="42">
        <v>2102.16</v>
      </c>
      <c r="T222" s="42">
        <v>0</v>
      </c>
      <c r="U222" s="42">
        <v>3556.95</v>
      </c>
      <c r="V222" s="42">
        <v>520.57000000000016</v>
      </c>
      <c r="W222" s="42">
        <v>0</v>
      </c>
      <c r="X222" s="36" t="s">
        <v>352</v>
      </c>
      <c r="Y222" s="36" t="s">
        <v>352</v>
      </c>
      <c r="Z222" s="36" t="s">
        <v>352</v>
      </c>
      <c r="AA222" s="36" t="s">
        <v>352</v>
      </c>
      <c r="AB222" s="36" t="s">
        <v>352</v>
      </c>
      <c r="AC222" s="36" t="s">
        <v>352</v>
      </c>
      <c r="AD222" s="36" t="s">
        <v>352</v>
      </c>
      <c r="AE222" s="36" t="s">
        <v>352</v>
      </c>
    </row>
    <row r="223" spans="1:31" ht="15" customHeight="1" x14ac:dyDescent="0.25">
      <c r="A223" s="38">
        <v>3117</v>
      </c>
      <c r="B223" s="39">
        <v>8564</v>
      </c>
      <c r="C223" s="39" t="s">
        <v>576</v>
      </c>
      <c r="D223" s="39" t="s">
        <v>577</v>
      </c>
      <c r="E223" s="39" t="s">
        <v>26</v>
      </c>
      <c r="F223" s="39" t="s">
        <v>573</v>
      </c>
      <c r="G223" s="40" t="str">
        <f>IF(LEN(ElecLkUp[[#This Row],[Ledger Code]])&gt;3,"AR"&amp;ElecLkUp[[#This Row],[Ledger Code]],"TBC")</f>
        <v>AR8564</v>
      </c>
      <c r="H223" s="115"/>
      <c r="I223" s="115"/>
      <c r="J223" s="115"/>
      <c r="K223" s="115"/>
      <c r="L223" s="115"/>
      <c r="M223" s="115"/>
      <c r="N223" s="115"/>
      <c r="O223" s="115"/>
      <c r="P223" s="42">
        <v>0</v>
      </c>
      <c r="Q223" s="42">
        <v>0</v>
      </c>
      <c r="R223" s="42">
        <v>0</v>
      </c>
      <c r="S223" s="42">
        <v>0</v>
      </c>
      <c r="T223" s="42">
        <v>0</v>
      </c>
      <c r="U223" s="42">
        <v>0</v>
      </c>
      <c r="V223" s="42">
        <v>0</v>
      </c>
      <c r="W223" s="42">
        <v>0</v>
      </c>
      <c r="X223" s="36" t="s">
        <v>352</v>
      </c>
      <c r="Y223" s="36" t="s">
        <v>352</v>
      </c>
      <c r="Z223" s="36" t="s">
        <v>352</v>
      </c>
      <c r="AA223" s="36" t="s">
        <v>352</v>
      </c>
      <c r="AB223" s="36" t="s">
        <v>352</v>
      </c>
      <c r="AC223" s="36" t="s">
        <v>352</v>
      </c>
      <c r="AD223" s="36" t="s">
        <v>352</v>
      </c>
      <c r="AE223" s="36" t="s">
        <v>352</v>
      </c>
    </row>
    <row r="224" spans="1:31" ht="15" customHeight="1" x14ac:dyDescent="0.25">
      <c r="A224" s="38">
        <v>5132</v>
      </c>
      <c r="B224" s="39">
        <v>8618</v>
      </c>
      <c r="C224" s="39" t="s">
        <v>578</v>
      </c>
      <c r="D224" s="39" t="s">
        <v>579</v>
      </c>
      <c r="E224" s="39" t="s">
        <v>26</v>
      </c>
      <c r="F224" s="39" t="s">
        <v>573</v>
      </c>
      <c r="G224" s="40" t="str">
        <f>IF(LEN(ElecLkUp[[#This Row],[Ledger Code]])&gt;3,"AR"&amp;ElecLkUp[[#This Row],[Ledger Code]],"TBC")</f>
        <v>AR8618</v>
      </c>
      <c r="H224" s="115"/>
      <c r="I224" s="115"/>
      <c r="J224" s="115"/>
      <c r="K224" s="115"/>
      <c r="L224" s="115"/>
      <c r="M224" s="115"/>
      <c r="N224" s="115"/>
      <c r="O224" s="115"/>
      <c r="P224" s="42">
        <v>0</v>
      </c>
      <c r="Q224" s="42">
        <v>6318.15</v>
      </c>
      <c r="R224" s="42">
        <v>0</v>
      </c>
      <c r="S224" s="42">
        <v>-4036.6200000000017</v>
      </c>
      <c r="T224" s="42">
        <v>0</v>
      </c>
      <c r="U224" s="42">
        <v>8743.1499999999978</v>
      </c>
      <c r="V224" s="42">
        <v>1832.92</v>
      </c>
      <c r="W224" s="42">
        <v>0</v>
      </c>
      <c r="X224" s="36" t="s">
        <v>352</v>
      </c>
      <c r="Y224" s="36" t="s">
        <v>352</v>
      </c>
      <c r="Z224" s="36" t="s">
        <v>352</v>
      </c>
      <c r="AA224" s="36" t="s">
        <v>352</v>
      </c>
      <c r="AB224" s="36" t="s">
        <v>352</v>
      </c>
      <c r="AC224" s="36" t="s">
        <v>352</v>
      </c>
      <c r="AD224" s="36" t="s">
        <v>352</v>
      </c>
      <c r="AE224" s="36" t="s">
        <v>352</v>
      </c>
    </row>
    <row r="225" spans="1:31" ht="15" customHeight="1" x14ac:dyDescent="0.25">
      <c r="A225" s="38">
        <v>5141</v>
      </c>
      <c r="B225" s="39">
        <v>8661</v>
      </c>
      <c r="C225" s="39" t="s">
        <v>580</v>
      </c>
      <c r="D225" s="39" t="s">
        <v>581</v>
      </c>
      <c r="E225" s="39" t="s">
        <v>26</v>
      </c>
      <c r="F225" s="39" t="s">
        <v>573</v>
      </c>
      <c r="G225" s="40" t="str">
        <f>IF(LEN(ElecLkUp[[#This Row],[Ledger Code]])&gt;3,"AR"&amp;ElecLkUp[[#This Row],[Ledger Code]],"TBC")</f>
        <v>AR8661</v>
      </c>
      <c r="H225" s="115">
        <v>0</v>
      </c>
      <c r="I225" s="115">
        <v>0</v>
      </c>
      <c r="J225" s="115">
        <v>0</v>
      </c>
      <c r="K225" s="115">
        <v>0</v>
      </c>
      <c r="L225" s="115">
        <v>7179</v>
      </c>
      <c r="M225" s="115">
        <v>2684</v>
      </c>
      <c r="N225" s="115">
        <v>1353</v>
      </c>
      <c r="O225" s="115">
        <v>5867</v>
      </c>
      <c r="P225" s="42">
        <v>0</v>
      </c>
      <c r="Q225" s="42">
        <v>0</v>
      </c>
      <c r="R225" s="42">
        <v>0</v>
      </c>
      <c r="S225" s="42">
        <v>2378.0300000000002</v>
      </c>
      <c r="T225" s="42">
        <v>229.33999999999995</v>
      </c>
      <c r="U225" s="42">
        <v>-1308.5100000000002</v>
      </c>
      <c r="V225" s="42">
        <v>181.04000000000013</v>
      </c>
      <c r="W225" s="42">
        <v>887.17000000000007</v>
      </c>
      <c r="X225" s="36">
        <v>0</v>
      </c>
      <c r="Y225" s="36">
        <v>0</v>
      </c>
      <c r="Z225" s="36">
        <v>0</v>
      </c>
      <c r="AA225" s="36">
        <v>0</v>
      </c>
      <c r="AB225" s="36">
        <v>7179</v>
      </c>
      <c r="AC225" s="36">
        <v>2684</v>
      </c>
      <c r="AD225" s="36">
        <v>203322</v>
      </c>
      <c r="AE225" s="36">
        <v>179594</v>
      </c>
    </row>
    <row r="226" spans="1:31" ht="15" customHeight="1" x14ac:dyDescent="0.25">
      <c r="A226" s="38">
        <v>5176</v>
      </c>
      <c r="B226" s="39">
        <v>8688</v>
      </c>
      <c r="C226" s="39" t="s">
        <v>582</v>
      </c>
      <c r="D226" s="39" t="s">
        <v>583</v>
      </c>
      <c r="E226" s="39" t="s">
        <v>26</v>
      </c>
      <c r="F226" s="39" t="s">
        <v>573</v>
      </c>
      <c r="G226" s="40" t="str">
        <f>IF(LEN(ElecLkUp[[#This Row],[Ledger Code]])&gt;3,"AR"&amp;ElecLkUp[[#This Row],[Ledger Code]],"TBC")</f>
        <v>AR8688</v>
      </c>
      <c r="H226" s="115"/>
      <c r="I226" s="115"/>
      <c r="J226" s="115"/>
      <c r="K226" s="115"/>
      <c r="L226" s="115"/>
      <c r="M226" s="115"/>
      <c r="N226" s="115"/>
      <c r="O226" s="115"/>
      <c r="P226" s="42">
        <v>0</v>
      </c>
      <c r="Q226" s="42">
        <v>0</v>
      </c>
      <c r="R226" s="42">
        <v>-1.8189894035458565E-12</v>
      </c>
      <c r="S226" s="42">
        <v>0</v>
      </c>
      <c r="T226" s="42">
        <v>0</v>
      </c>
      <c r="U226" s="42">
        <v>0</v>
      </c>
      <c r="V226" s="42">
        <v>0</v>
      </c>
      <c r="W226" s="42">
        <v>0</v>
      </c>
      <c r="X226" s="36" t="s">
        <v>352</v>
      </c>
      <c r="Y226" s="36" t="s">
        <v>352</v>
      </c>
      <c r="Z226" s="36" t="s">
        <v>352</v>
      </c>
      <c r="AA226" s="36" t="s">
        <v>352</v>
      </c>
      <c r="AB226" s="36" t="s">
        <v>352</v>
      </c>
      <c r="AC226" s="36" t="s">
        <v>352</v>
      </c>
      <c r="AD226" s="36" t="s">
        <v>352</v>
      </c>
      <c r="AE226" s="36" t="s">
        <v>352</v>
      </c>
    </row>
    <row r="227" spans="1:31" ht="15" customHeight="1" x14ac:dyDescent="0.25">
      <c r="A227" s="38">
        <v>5301</v>
      </c>
      <c r="B227" s="39">
        <v>8897</v>
      </c>
      <c r="C227" s="39" t="s">
        <v>584</v>
      </c>
      <c r="D227" s="39" t="s">
        <v>585</v>
      </c>
      <c r="E227" s="39" t="s">
        <v>26</v>
      </c>
      <c r="F227" s="39" t="s">
        <v>570</v>
      </c>
      <c r="G227" s="40" t="str">
        <f>IF(LEN(ElecLkUp[[#This Row],[Ledger Code]])&gt;3,"AR"&amp;ElecLkUp[[#This Row],[Ledger Code]],"TBC")</f>
        <v>AR8897</v>
      </c>
      <c r="H227" s="115"/>
      <c r="I227" s="115"/>
      <c r="J227" s="115"/>
      <c r="K227" s="115"/>
      <c r="L227" s="115"/>
      <c r="M227" s="115"/>
      <c r="N227" s="115"/>
      <c r="O227" s="115"/>
      <c r="P227" s="42">
        <v>0</v>
      </c>
      <c r="Q227" s="42">
        <v>0</v>
      </c>
      <c r="R227" s="42">
        <v>0</v>
      </c>
      <c r="S227" s="42">
        <v>0</v>
      </c>
      <c r="T227" s="42">
        <v>0</v>
      </c>
      <c r="U227" s="42">
        <v>814.17999999999984</v>
      </c>
      <c r="V227" s="42">
        <v>2170.9299999999998</v>
      </c>
      <c r="W227" s="42">
        <v>0</v>
      </c>
      <c r="X227" s="36" t="s">
        <v>352</v>
      </c>
      <c r="Y227" s="36" t="s">
        <v>352</v>
      </c>
      <c r="Z227" s="36" t="s">
        <v>352</v>
      </c>
      <c r="AA227" s="36" t="s">
        <v>352</v>
      </c>
      <c r="AB227" s="36" t="s">
        <v>352</v>
      </c>
      <c r="AC227" s="36" t="s">
        <v>352</v>
      </c>
      <c r="AD227" s="36" t="s">
        <v>352</v>
      </c>
      <c r="AE227" s="36" t="s">
        <v>352</v>
      </c>
    </row>
    <row r="228" spans="1:31" ht="15" customHeight="1" x14ac:dyDescent="0.25">
      <c r="A228" s="38">
        <v>5226</v>
      </c>
      <c r="B228" s="39">
        <v>8743</v>
      </c>
      <c r="C228" s="39" t="s">
        <v>586</v>
      </c>
      <c r="D228" s="39" t="s">
        <v>587</v>
      </c>
      <c r="E228" s="39" t="s">
        <v>26</v>
      </c>
      <c r="F228" s="39" t="s">
        <v>573</v>
      </c>
      <c r="G228" s="40" t="str">
        <f>IF(LEN(ElecLkUp[[#This Row],[Ledger Code]])&gt;3,"AR"&amp;ElecLkUp[[#This Row],[Ledger Code]],"TBC")</f>
        <v>AR8743</v>
      </c>
      <c r="H228" s="115">
        <v>0</v>
      </c>
      <c r="I228" s="115">
        <v>0</v>
      </c>
      <c r="J228" s="115">
        <v>264850</v>
      </c>
      <c r="K228" s="115">
        <v>98280</v>
      </c>
      <c r="L228" s="115">
        <v>95464</v>
      </c>
      <c r="M228" s="115">
        <v>102041</v>
      </c>
      <c r="N228" s="115">
        <v>69941</v>
      </c>
      <c r="O228" s="115">
        <v>95503</v>
      </c>
      <c r="P228" s="42">
        <v>0</v>
      </c>
      <c r="Q228" s="42">
        <v>0</v>
      </c>
      <c r="R228" s="42">
        <v>31004.28</v>
      </c>
      <c r="S228" s="42">
        <v>11491.48</v>
      </c>
      <c r="T228" s="42">
        <v>11543.61</v>
      </c>
      <c r="U228" s="42">
        <v>12657.699999999997</v>
      </c>
      <c r="V228" s="42">
        <v>12848.599999999999</v>
      </c>
      <c r="W228" s="42">
        <v>7653.7500000000009</v>
      </c>
      <c r="X228" s="36">
        <v>0</v>
      </c>
      <c r="Y228" s="36">
        <v>0</v>
      </c>
      <c r="Z228" s="36">
        <v>264850</v>
      </c>
      <c r="AA228" s="36">
        <v>98280</v>
      </c>
      <c r="AB228" s="36">
        <v>95464</v>
      </c>
      <c r="AC228" s="36">
        <v>102041</v>
      </c>
      <c r="AD228" s="36">
        <v>271910</v>
      </c>
      <c r="AE228" s="36">
        <v>269230</v>
      </c>
    </row>
    <row r="229" spans="1:31" ht="15" customHeight="1" x14ac:dyDescent="0.25">
      <c r="A229" s="38">
        <v>5374</v>
      </c>
      <c r="B229" s="39">
        <v>8841</v>
      </c>
      <c r="C229" s="39" t="s">
        <v>588</v>
      </c>
      <c r="D229" s="39" t="s">
        <v>589</v>
      </c>
      <c r="E229" s="39" t="s">
        <v>26</v>
      </c>
      <c r="F229" s="39" t="s">
        <v>570</v>
      </c>
      <c r="G229" s="40" t="str">
        <f>IF(LEN(ElecLkUp[[#This Row],[Ledger Code]])&gt;3,"AR"&amp;ElecLkUp[[#This Row],[Ledger Code]],"TBC")</f>
        <v>AR8841</v>
      </c>
      <c r="H229" s="115">
        <v>0</v>
      </c>
      <c r="I229" s="115">
        <v>0</v>
      </c>
      <c r="J229" s="115">
        <v>0</v>
      </c>
      <c r="K229" s="115">
        <v>0</v>
      </c>
      <c r="L229" s="115">
        <v>0</v>
      </c>
      <c r="M229" s="115">
        <v>1476</v>
      </c>
      <c r="N229" s="115">
        <v>900</v>
      </c>
      <c r="O229" s="115">
        <v>2648</v>
      </c>
      <c r="P229" s="42">
        <v>0</v>
      </c>
      <c r="Q229" s="42">
        <v>466.1400000000001</v>
      </c>
      <c r="R229" s="42">
        <v>1970.0199999999998</v>
      </c>
      <c r="S229" s="42">
        <v>1943.4699999999998</v>
      </c>
      <c r="T229" s="42">
        <v>2188.0899999999997</v>
      </c>
      <c r="U229" s="42">
        <v>769.17000000000019</v>
      </c>
      <c r="V229" s="42">
        <v>986.33</v>
      </c>
      <c r="W229" s="42">
        <v>800.18000000000006</v>
      </c>
      <c r="X229" s="36">
        <v>0</v>
      </c>
      <c r="Y229" s="36">
        <v>0</v>
      </c>
      <c r="Z229" s="36">
        <v>0</v>
      </c>
      <c r="AA229" s="36">
        <v>0</v>
      </c>
      <c r="AB229" s="36">
        <v>0</v>
      </c>
      <c r="AC229" s="36">
        <v>1476</v>
      </c>
      <c r="AD229" s="36">
        <v>202869</v>
      </c>
      <c r="AE229" s="36">
        <v>176375</v>
      </c>
    </row>
    <row r="230" spans="1:31" ht="15" customHeight="1" x14ac:dyDescent="0.25">
      <c r="A230" s="38">
        <v>5408</v>
      </c>
      <c r="B230" s="39">
        <v>9108</v>
      </c>
      <c r="C230" s="39" t="s">
        <v>590</v>
      </c>
      <c r="D230" s="39" t="s">
        <v>591</v>
      </c>
      <c r="E230" s="39" t="s">
        <v>26</v>
      </c>
      <c r="F230" s="39" t="s">
        <v>592</v>
      </c>
      <c r="G230" s="40" t="str">
        <f>IF(LEN(ElecLkUp[[#This Row],[Ledger Code]])&gt;3,"AR"&amp;ElecLkUp[[#This Row],[Ledger Code]],"TBC")</f>
        <v>AR9108</v>
      </c>
      <c r="H230" s="115"/>
      <c r="I230" s="115"/>
      <c r="J230" s="115"/>
      <c r="K230" s="115"/>
      <c r="L230" s="115"/>
      <c r="M230" s="115"/>
      <c r="N230" s="115"/>
      <c r="O230" s="115"/>
      <c r="P230" s="42">
        <v>0</v>
      </c>
      <c r="Q230" s="42">
        <v>0</v>
      </c>
      <c r="R230" s="42">
        <v>505.27</v>
      </c>
      <c r="S230" s="42">
        <v>435</v>
      </c>
      <c r="T230" s="42">
        <v>426.78</v>
      </c>
      <c r="U230" s="42">
        <v>411</v>
      </c>
      <c r="V230" s="42">
        <v>390.00000000000023</v>
      </c>
      <c r="W230" s="42">
        <v>544.79999999999995</v>
      </c>
      <c r="X230" s="36" t="s">
        <v>352</v>
      </c>
      <c r="Y230" s="36" t="s">
        <v>352</v>
      </c>
      <c r="Z230" s="36" t="s">
        <v>352</v>
      </c>
      <c r="AA230" s="36" t="s">
        <v>352</v>
      </c>
      <c r="AB230" s="36" t="s">
        <v>352</v>
      </c>
      <c r="AC230" s="36" t="s">
        <v>352</v>
      </c>
      <c r="AD230" s="36" t="s">
        <v>352</v>
      </c>
      <c r="AE230" s="36" t="s">
        <v>352</v>
      </c>
    </row>
    <row r="231" spans="1:31" ht="15" customHeight="1" x14ac:dyDescent="0.25">
      <c r="A231" s="38">
        <v>5459</v>
      </c>
      <c r="B231" s="39">
        <v>9105</v>
      </c>
      <c r="C231" s="39" t="s">
        <v>593</v>
      </c>
      <c r="D231" s="39" t="s">
        <v>594</v>
      </c>
      <c r="E231" s="39" t="s">
        <v>26</v>
      </c>
      <c r="F231" s="39" t="s">
        <v>592</v>
      </c>
      <c r="G231" s="40" t="str">
        <f>IF(LEN(ElecLkUp[[#This Row],[Ledger Code]])&gt;3,"AR"&amp;ElecLkUp[[#This Row],[Ledger Code]],"TBC")</f>
        <v>AR9105</v>
      </c>
      <c r="H231" s="115"/>
      <c r="I231" s="115"/>
      <c r="J231" s="115"/>
      <c r="K231" s="115"/>
      <c r="L231" s="115"/>
      <c r="M231" s="115"/>
      <c r="N231" s="115"/>
      <c r="O231" s="115"/>
      <c r="P231" s="42">
        <v>0</v>
      </c>
      <c r="Q231" s="42">
        <v>0</v>
      </c>
      <c r="R231" s="42">
        <v>0</v>
      </c>
      <c r="S231" s="42">
        <v>0</v>
      </c>
      <c r="T231" s="42">
        <v>0</v>
      </c>
      <c r="U231" s="42">
        <v>0</v>
      </c>
      <c r="V231" s="42">
        <v>0</v>
      </c>
      <c r="W231" s="42">
        <v>0</v>
      </c>
      <c r="X231" s="36" t="s">
        <v>352</v>
      </c>
      <c r="Y231" s="36" t="s">
        <v>352</v>
      </c>
      <c r="Z231" s="36" t="s">
        <v>352</v>
      </c>
      <c r="AA231" s="36" t="s">
        <v>352</v>
      </c>
      <c r="AB231" s="36" t="s">
        <v>352</v>
      </c>
      <c r="AC231" s="36" t="s">
        <v>352</v>
      </c>
      <c r="AD231" s="36" t="s">
        <v>352</v>
      </c>
      <c r="AE231" s="36" t="s">
        <v>352</v>
      </c>
    </row>
    <row r="232" spans="1:31" ht="15" customHeight="1" x14ac:dyDescent="0.25">
      <c r="A232" s="38">
        <v>5494</v>
      </c>
      <c r="B232" s="39">
        <v>9114</v>
      </c>
      <c r="C232" s="39" t="s">
        <v>595</v>
      </c>
      <c r="D232" s="39" t="s">
        <v>596</v>
      </c>
      <c r="E232" s="39" t="s">
        <v>26</v>
      </c>
      <c r="F232" s="39" t="s">
        <v>592</v>
      </c>
      <c r="G232" s="40" t="str">
        <f>IF(LEN(ElecLkUp[[#This Row],[Ledger Code]])&gt;3,"AR"&amp;ElecLkUp[[#This Row],[Ledger Code]],"TBC")</f>
        <v>AR9114</v>
      </c>
      <c r="H232" s="115"/>
      <c r="I232" s="115"/>
      <c r="J232" s="115"/>
      <c r="K232" s="115"/>
      <c r="L232" s="115"/>
      <c r="M232" s="115"/>
      <c r="N232" s="115"/>
      <c r="O232" s="115"/>
      <c r="P232" s="42">
        <v>0</v>
      </c>
      <c r="Q232" s="42">
        <v>0</v>
      </c>
      <c r="R232" s="42">
        <v>0</v>
      </c>
      <c r="S232" s="42">
        <v>0</v>
      </c>
      <c r="T232" s="42">
        <v>0</v>
      </c>
      <c r="U232" s="42">
        <v>0</v>
      </c>
      <c r="V232" s="42">
        <v>0</v>
      </c>
      <c r="W232" s="42">
        <v>0</v>
      </c>
      <c r="X232" s="36" t="s">
        <v>352</v>
      </c>
      <c r="Y232" s="36" t="s">
        <v>352</v>
      </c>
      <c r="Z232" s="36" t="s">
        <v>352</v>
      </c>
      <c r="AA232" s="36" t="s">
        <v>352</v>
      </c>
      <c r="AB232" s="36" t="s">
        <v>352</v>
      </c>
      <c r="AC232" s="36" t="s">
        <v>352</v>
      </c>
      <c r="AD232" s="36" t="s">
        <v>352</v>
      </c>
      <c r="AE232" s="36" t="s">
        <v>352</v>
      </c>
    </row>
    <row r="233" spans="1:31" ht="15" customHeight="1" x14ac:dyDescent="0.25">
      <c r="A233" s="38">
        <v>5564</v>
      </c>
      <c r="B233" s="39">
        <v>8926</v>
      </c>
      <c r="C233" s="39" t="s">
        <v>597</v>
      </c>
      <c r="D233" s="39" t="s">
        <v>598</v>
      </c>
      <c r="E233" s="39" t="s">
        <v>26</v>
      </c>
      <c r="F233" s="39" t="s">
        <v>592</v>
      </c>
      <c r="G233" s="40" t="str">
        <f>IF(LEN(ElecLkUp[[#This Row],[Ledger Code]])&gt;3,"AR"&amp;ElecLkUp[[#This Row],[Ledger Code]],"TBC")</f>
        <v>AR8926</v>
      </c>
      <c r="H233" s="115"/>
      <c r="I233" s="115"/>
      <c r="J233" s="115"/>
      <c r="K233" s="115"/>
      <c r="L233" s="115"/>
      <c r="M233" s="115"/>
      <c r="N233" s="115"/>
      <c r="O233" s="115"/>
      <c r="P233" s="42">
        <v>0</v>
      </c>
      <c r="Q233" s="42">
        <v>8811.98</v>
      </c>
      <c r="R233" s="42">
        <v>1464.38</v>
      </c>
      <c r="S233" s="42">
        <v>5308.2699999999995</v>
      </c>
      <c r="T233" s="42">
        <v>2929.5699999999997</v>
      </c>
      <c r="U233" s="42">
        <v>3737.0699999999997</v>
      </c>
      <c r="V233" s="42">
        <v>8940.77</v>
      </c>
      <c r="W233" s="42">
        <v>1514.6600000000008</v>
      </c>
      <c r="X233" s="36" t="s">
        <v>352</v>
      </c>
      <c r="Y233" s="36" t="s">
        <v>352</v>
      </c>
      <c r="Z233" s="36" t="s">
        <v>352</v>
      </c>
      <c r="AA233" s="36" t="s">
        <v>352</v>
      </c>
      <c r="AB233" s="36" t="s">
        <v>352</v>
      </c>
      <c r="AC233" s="36" t="s">
        <v>352</v>
      </c>
      <c r="AD233" s="36" t="s">
        <v>352</v>
      </c>
      <c r="AE233" s="36" t="s">
        <v>352</v>
      </c>
    </row>
    <row r="234" spans="1:31" ht="15" customHeight="1" x14ac:dyDescent="0.25">
      <c r="A234" s="38">
        <v>5569</v>
      </c>
      <c r="B234" s="39">
        <v>9051</v>
      </c>
      <c r="C234" s="39" t="s">
        <v>599</v>
      </c>
      <c r="D234" s="39" t="s">
        <v>600</v>
      </c>
      <c r="E234" s="39" t="s">
        <v>26</v>
      </c>
      <c r="F234" s="39" t="s">
        <v>592</v>
      </c>
      <c r="G234" s="40" t="str">
        <f>IF(LEN(ElecLkUp[[#This Row],[Ledger Code]])&gt;3,"AR"&amp;ElecLkUp[[#This Row],[Ledger Code]],"TBC")</f>
        <v>AR9051</v>
      </c>
      <c r="H234" s="115"/>
      <c r="I234" s="115"/>
      <c r="J234" s="115"/>
      <c r="K234" s="115"/>
      <c r="L234" s="115"/>
      <c r="M234" s="115"/>
      <c r="N234" s="115"/>
      <c r="O234" s="115"/>
      <c r="P234" s="42">
        <v>1079.3699999999999</v>
      </c>
      <c r="Q234" s="42">
        <v>1047.76</v>
      </c>
      <c r="R234" s="42">
        <v>523.88</v>
      </c>
      <c r="S234" s="42">
        <v>844.16</v>
      </c>
      <c r="T234" s="42">
        <v>1549.8200000000002</v>
      </c>
      <c r="U234" s="42">
        <v>0</v>
      </c>
      <c r="V234" s="42">
        <v>844.16</v>
      </c>
      <c r="W234" s="42">
        <v>0</v>
      </c>
      <c r="X234" s="36" t="s">
        <v>352</v>
      </c>
      <c r="Y234" s="36" t="s">
        <v>352</v>
      </c>
      <c r="Z234" s="36" t="s">
        <v>352</v>
      </c>
      <c r="AA234" s="36" t="s">
        <v>352</v>
      </c>
      <c r="AB234" s="36" t="s">
        <v>352</v>
      </c>
      <c r="AC234" s="36" t="s">
        <v>352</v>
      </c>
      <c r="AD234" s="36" t="s">
        <v>352</v>
      </c>
      <c r="AE234" s="36" t="s">
        <v>352</v>
      </c>
    </row>
    <row r="235" spans="1:31" ht="15" customHeight="1" x14ac:dyDescent="0.25">
      <c r="A235" s="38">
        <v>5440</v>
      </c>
      <c r="B235" s="39">
        <v>9051</v>
      </c>
      <c r="C235" s="39" t="s">
        <v>599</v>
      </c>
      <c r="D235" s="39" t="s">
        <v>600</v>
      </c>
      <c r="E235" s="39" t="s">
        <v>26</v>
      </c>
      <c r="F235" s="39" t="s">
        <v>592</v>
      </c>
      <c r="G235" s="40" t="str">
        <f>IF(LEN(ElecLkUp[[#This Row],[Ledger Code]])&gt;3,"AR"&amp;ElecLkUp[[#This Row],[Ledger Code]],"TBC")</f>
        <v>AR9051</v>
      </c>
      <c r="H235" s="115"/>
      <c r="I235" s="115"/>
      <c r="J235" s="115"/>
      <c r="K235" s="115"/>
      <c r="L235" s="115"/>
      <c r="M235" s="115"/>
      <c r="N235" s="115"/>
      <c r="O235" s="115"/>
      <c r="P235" s="42">
        <v>1079.3699999999999</v>
      </c>
      <c r="Q235" s="42">
        <v>1047.76</v>
      </c>
      <c r="R235" s="42">
        <v>523.88</v>
      </c>
      <c r="S235" s="42">
        <v>844.16</v>
      </c>
      <c r="T235" s="42">
        <v>1549.8200000000002</v>
      </c>
      <c r="U235" s="42">
        <v>0</v>
      </c>
      <c r="V235" s="42">
        <v>844.16</v>
      </c>
      <c r="W235" s="42">
        <v>0</v>
      </c>
      <c r="X235" s="36" t="s">
        <v>352</v>
      </c>
      <c r="Y235" s="36" t="s">
        <v>352</v>
      </c>
      <c r="Z235" s="36" t="s">
        <v>352</v>
      </c>
      <c r="AA235" s="36" t="s">
        <v>352</v>
      </c>
      <c r="AB235" s="36" t="s">
        <v>352</v>
      </c>
      <c r="AC235" s="36" t="s">
        <v>352</v>
      </c>
      <c r="AD235" s="36" t="s">
        <v>352</v>
      </c>
      <c r="AE235" s="36" t="s">
        <v>352</v>
      </c>
    </row>
    <row r="236" spans="1:31" ht="15" customHeight="1" x14ac:dyDescent="0.25">
      <c r="A236" s="38">
        <v>5573</v>
      </c>
      <c r="B236" s="39">
        <v>9051</v>
      </c>
      <c r="C236" s="39" t="s">
        <v>599</v>
      </c>
      <c r="D236" s="39" t="s">
        <v>600</v>
      </c>
      <c r="E236" s="39" t="s">
        <v>26</v>
      </c>
      <c r="F236" s="39" t="s">
        <v>592</v>
      </c>
      <c r="G236" s="40" t="str">
        <f>IF(LEN(ElecLkUp[[#This Row],[Ledger Code]])&gt;3,"AR"&amp;ElecLkUp[[#This Row],[Ledger Code]],"TBC")</f>
        <v>AR9051</v>
      </c>
      <c r="H236" s="115"/>
      <c r="I236" s="115"/>
      <c r="J236" s="115"/>
      <c r="K236" s="115"/>
      <c r="L236" s="115"/>
      <c r="M236" s="115"/>
      <c r="N236" s="115"/>
      <c r="O236" s="115"/>
      <c r="P236" s="42">
        <v>1079.3699999999999</v>
      </c>
      <c r="Q236" s="42">
        <v>1047.76</v>
      </c>
      <c r="R236" s="42">
        <v>523.88</v>
      </c>
      <c r="S236" s="42">
        <v>844.16</v>
      </c>
      <c r="T236" s="42">
        <v>1549.8200000000002</v>
      </c>
      <c r="U236" s="42">
        <v>0</v>
      </c>
      <c r="V236" s="42">
        <v>844.16</v>
      </c>
      <c r="W236" s="42">
        <v>0</v>
      </c>
      <c r="X236" s="36" t="s">
        <v>352</v>
      </c>
      <c r="Y236" s="36" t="s">
        <v>352</v>
      </c>
      <c r="Z236" s="36" t="s">
        <v>352</v>
      </c>
      <c r="AA236" s="36" t="s">
        <v>352</v>
      </c>
      <c r="AB236" s="36" t="s">
        <v>352</v>
      </c>
      <c r="AC236" s="36" t="s">
        <v>352</v>
      </c>
      <c r="AD236" s="36" t="s">
        <v>352</v>
      </c>
      <c r="AE236" s="36" t="s">
        <v>352</v>
      </c>
    </row>
    <row r="237" spans="1:31" ht="15" customHeight="1" x14ac:dyDescent="0.25">
      <c r="A237" s="38">
        <v>5575</v>
      </c>
      <c r="B237" s="39">
        <v>9051</v>
      </c>
      <c r="C237" s="39" t="s">
        <v>599</v>
      </c>
      <c r="D237" s="39" t="s">
        <v>600</v>
      </c>
      <c r="E237" s="39" t="s">
        <v>26</v>
      </c>
      <c r="F237" s="39" t="s">
        <v>592</v>
      </c>
      <c r="G237" s="40" t="str">
        <f>IF(LEN(ElecLkUp[[#This Row],[Ledger Code]])&gt;3,"AR"&amp;ElecLkUp[[#This Row],[Ledger Code]],"TBC")</f>
        <v>AR9051</v>
      </c>
      <c r="H237" s="115"/>
      <c r="I237" s="115"/>
      <c r="J237" s="115"/>
      <c r="K237" s="115"/>
      <c r="L237" s="115"/>
      <c r="M237" s="115"/>
      <c r="N237" s="115"/>
      <c r="O237" s="115"/>
      <c r="P237" s="42">
        <v>1079.3699999999999</v>
      </c>
      <c r="Q237" s="42">
        <v>1047.76</v>
      </c>
      <c r="R237" s="42">
        <v>523.88</v>
      </c>
      <c r="S237" s="42">
        <v>844.16</v>
      </c>
      <c r="T237" s="42">
        <v>1549.8200000000002</v>
      </c>
      <c r="U237" s="42">
        <v>0</v>
      </c>
      <c r="V237" s="42">
        <v>844.16</v>
      </c>
      <c r="W237" s="42">
        <v>0</v>
      </c>
      <c r="X237" s="36" t="s">
        <v>352</v>
      </c>
      <c r="Y237" s="36" t="s">
        <v>352</v>
      </c>
      <c r="Z237" s="36" t="s">
        <v>352</v>
      </c>
      <c r="AA237" s="36" t="s">
        <v>352</v>
      </c>
      <c r="AB237" s="36" t="s">
        <v>352</v>
      </c>
      <c r="AC237" s="36" t="s">
        <v>352</v>
      </c>
      <c r="AD237" s="36" t="s">
        <v>352</v>
      </c>
      <c r="AE237" s="36" t="s">
        <v>352</v>
      </c>
    </row>
    <row r="238" spans="1:31" ht="15" customHeight="1" x14ac:dyDescent="0.25">
      <c r="A238" s="38">
        <v>5571</v>
      </c>
      <c r="B238" s="39">
        <v>9046</v>
      </c>
      <c r="C238" s="39" t="s">
        <v>601</v>
      </c>
      <c r="D238" s="39" t="s">
        <v>602</v>
      </c>
      <c r="E238" s="39" t="s">
        <v>26</v>
      </c>
      <c r="F238" s="39" t="s">
        <v>592</v>
      </c>
      <c r="G238" s="40" t="str">
        <f>IF(LEN(ElecLkUp[[#This Row],[Ledger Code]])&gt;3,"AR"&amp;ElecLkUp[[#This Row],[Ledger Code]],"TBC")</f>
        <v>AR9046</v>
      </c>
      <c r="H238" s="115"/>
      <c r="I238" s="115"/>
      <c r="J238" s="115"/>
      <c r="K238" s="115"/>
      <c r="L238" s="115"/>
      <c r="M238" s="115"/>
      <c r="N238" s="115"/>
      <c r="O238" s="115"/>
      <c r="P238" s="42">
        <v>0</v>
      </c>
      <c r="Q238" s="42">
        <v>2638.21</v>
      </c>
      <c r="R238" s="42">
        <v>1471.37</v>
      </c>
      <c r="S238" s="42">
        <v>1916.78</v>
      </c>
      <c r="T238" s="42">
        <v>1883.77</v>
      </c>
      <c r="U238" s="42">
        <v>867.26</v>
      </c>
      <c r="V238" s="42">
        <v>1027.82</v>
      </c>
      <c r="W238" s="42">
        <v>810.32999999999993</v>
      </c>
      <c r="X238" s="36" t="s">
        <v>352</v>
      </c>
      <c r="Y238" s="36" t="s">
        <v>352</v>
      </c>
      <c r="Z238" s="36" t="s">
        <v>352</v>
      </c>
      <c r="AA238" s="36" t="s">
        <v>352</v>
      </c>
      <c r="AB238" s="36" t="s">
        <v>352</v>
      </c>
      <c r="AC238" s="36" t="s">
        <v>352</v>
      </c>
      <c r="AD238" s="36" t="s">
        <v>352</v>
      </c>
      <c r="AE238" s="36" t="s">
        <v>352</v>
      </c>
    </row>
    <row r="239" spans="1:31" ht="15" customHeight="1" x14ac:dyDescent="0.25">
      <c r="A239" s="38">
        <v>5373</v>
      </c>
      <c r="B239" s="39">
        <v>8840</v>
      </c>
      <c r="C239" s="39" t="s">
        <v>603</v>
      </c>
      <c r="D239" s="39" t="s">
        <v>604</v>
      </c>
      <c r="E239" s="39" t="s">
        <v>26</v>
      </c>
      <c r="F239" s="39" t="s">
        <v>570</v>
      </c>
      <c r="G239" s="40" t="str">
        <f>IF(LEN(ElecLkUp[[#This Row],[Ledger Code]])&gt;3,"AR"&amp;ElecLkUp[[#This Row],[Ledger Code]],"TBC")</f>
        <v>AR8840</v>
      </c>
      <c r="H239" s="115">
        <v>0</v>
      </c>
      <c r="I239" s="115">
        <v>0</v>
      </c>
      <c r="J239" s="115">
        <v>0</v>
      </c>
      <c r="K239" s="115">
        <v>754</v>
      </c>
      <c r="L239" s="115">
        <v>0</v>
      </c>
      <c r="M239" s="115">
        <v>13</v>
      </c>
      <c r="N239" s="115">
        <v>9</v>
      </c>
      <c r="O239" s="115">
        <v>12</v>
      </c>
      <c r="P239" s="42">
        <v>0</v>
      </c>
      <c r="Q239" s="42">
        <v>0</v>
      </c>
      <c r="R239" s="42">
        <v>0</v>
      </c>
      <c r="S239" s="42">
        <v>160.58000000000004</v>
      </c>
      <c r="T239" s="42">
        <v>53.59</v>
      </c>
      <c r="U239" s="42">
        <v>10.35</v>
      </c>
      <c r="V239" s="42">
        <v>33.14</v>
      </c>
      <c r="W239" s="42">
        <v>-28.26</v>
      </c>
      <c r="X239" s="36">
        <v>0</v>
      </c>
      <c r="Y239" s="36">
        <v>0</v>
      </c>
      <c r="Z239" s="36">
        <v>0</v>
      </c>
      <c r="AA239" s="36">
        <v>754</v>
      </c>
      <c r="AB239" s="36">
        <v>0</v>
      </c>
      <c r="AC239" s="36">
        <v>13</v>
      </c>
      <c r="AD239" s="36">
        <v>201978</v>
      </c>
      <c r="AE239" s="36">
        <v>173739</v>
      </c>
    </row>
    <row r="240" spans="1:31" ht="15" customHeight="1" x14ac:dyDescent="0.25">
      <c r="A240" s="38">
        <v>1463</v>
      </c>
      <c r="B240" s="39">
        <v>8252</v>
      </c>
      <c r="C240" s="39" t="s">
        <v>606</v>
      </c>
      <c r="D240" s="39" t="s">
        <v>607</v>
      </c>
      <c r="E240" s="39" t="s">
        <v>26</v>
      </c>
      <c r="F240" s="39" t="s">
        <v>605</v>
      </c>
      <c r="G240" s="40" t="str">
        <f>IF(LEN(ElecLkUp[[#This Row],[Ledger Code]])&gt;3,"AR"&amp;ElecLkUp[[#This Row],[Ledger Code]],"TBC")</f>
        <v>AR8252</v>
      </c>
      <c r="H240" s="115">
        <v>0</v>
      </c>
      <c r="I240" s="115">
        <v>0</v>
      </c>
      <c r="J240" s="115">
        <v>0</v>
      </c>
      <c r="K240" s="115">
        <v>10735</v>
      </c>
      <c r="L240" s="115">
        <v>3413</v>
      </c>
      <c r="M240" s="115">
        <v>3286</v>
      </c>
      <c r="N240" s="115">
        <v>2192</v>
      </c>
      <c r="O240" s="115">
        <v>4821</v>
      </c>
      <c r="P240" s="42">
        <v>0</v>
      </c>
      <c r="Q240" s="42">
        <v>666.67999999999984</v>
      </c>
      <c r="R240" s="42">
        <v>-666.68</v>
      </c>
      <c r="S240" s="42">
        <v>1397.73</v>
      </c>
      <c r="T240" s="42">
        <v>506.12</v>
      </c>
      <c r="U240" s="42">
        <v>475.02</v>
      </c>
      <c r="V240" s="42">
        <v>496.61</v>
      </c>
      <c r="W240" s="42">
        <v>383.11</v>
      </c>
      <c r="X240" s="36">
        <v>0</v>
      </c>
      <c r="Y240" s="36">
        <v>0</v>
      </c>
      <c r="Z240" s="36">
        <v>0</v>
      </c>
      <c r="AA240" s="36">
        <v>10735</v>
      </c>
      <c r="AB240" s="36">
        <v>3413</v>
      </c>
      <c r="AC240" s="36">
        <v>3286</v>
      </c>
      <c r="AD240" s="36">
        <v>204161</v>
      </c>
      <c r="AE240" s="36">
        <v>178548</v>
      </c>
    </row>
    <row r="241" spans="1:31" ht="15" customHeight="1" x14ac:dyDescent="0.25">
      <c r="A241" s="38">
        <v>1487</v>
      </c>
      <c r="B241" s="39">
        <v>8256</v>
      </c>
      <c r="C241" s="39" t="s">
        <v>608</v>
      </c>
      <c r="D241" s="39" t="s">
        <v>609</v>
      </c>
      <c r="E241" s="39" t="s">
        <v>26</v>
      </c>
      <c r="F241" s="39" t="s">
        <v>605</v>
      </c>
      <c r="G241" s="40" t="str">
        <f>IF(LEN(ElecLkUp[[#This Row],[Ledger Code]])&gt;3,"AR"&amp;ElecLkUp[[#This Row],[Ledger Code]],"TBC")</f>
        <v>AR8256</v>
      </c>
      <c r="H241" s="115"/>
      <c r="I241" s="115"/>
      <c r="J241" s="115"/>
      <c r="K241" s="115"/>
      <c r="L241" s="115"/>
      <c r="M241" s="115"/>
      <c r="N241" s="115"/>
      <c r="O241" s="115"/>
      <c r="P241" s="42">
        <v>0</v>
      </c>
      <c r="Q241" s="42">
        <v>2331.6999999999998</v>
      </c>
      <c r="R241" s="42">
        <v>2048.06</v>
      </c>
      <c r="S241" s="42">
        <v>1542.95</v>
      </c>
      <c r="T241" s="42">
        <v>0</v>
      </c>
      <c r="U241" s="42">
        <v>0</v>
      </c>
      <c r="V241" s="42">
        <v>4384.03</v>
      </c>
      <c r="W241" s="42">
        <v>0</v>
      </c>
      <c r="X241" s="36" t="s">
        <v>352</v>
      </c>
      <c r="Y241" s="36" t="s">
        <v>352</v>
      </c>
      <c r="Z241" s="36" t="s">
        <v>352</v>
      </c>
      <c r="AA241" s="36" t="s">
        <v>352</v>
      </c>
      <c r="AB241" s="36" t="s">
        <v>352</v>
      </c>
      <c r="AC241" s="36" t="s">
        <v>352</v>
      </c>
      <c r="AD241" s="36" t="s">
        <v>352</v>
      </c>
      <c r="AE241" s="36" t="s">
        <v>352</v>
      </c>
    </row>
    <row r="242" spans="1:31" ht="15" customHeight="1" x14ac:dyDescent="0.25">
      <c r="A242" s="38">
        <v>1565</v>
      </c>
      <c r="B242" s="39">
        <v>8283</v>
      </c>
      <c r="C242" s="39" t="s">
        <v>610</v>
      </c>
      <c r="D242" s="39" t="s">
        <v>611</v>
      </c>
      <c r="E242" s="39" t="s">
        <v>26</v>
      </c>
      <c r="F242" s="39" t="s">
        <v>605</v>
      </c>
      <c r="G242" s="40" t="str">
        <f>IF(LEN(ElecLkUp[[#This Row],[Ledger Code]])&gt;3,"AR"&amp;ElecLkUp[[#This Row],[Ledger Code]],"TBC")</f>
        <v>AR8283</v>
      </c>
      <c r="H242" s="115"/>
      <c r="I242" s="115"/>
      <c r="J242" s="115"/>
      <c r="K242" s="115"/>
      <c r="L242" s="115"/>
      <c r="M242" s="115"/>
      <c r="N242" s="115"/>
      <c r="O242" s="115"/>
      <c r="P242" s="42">
        <v>0</v>
      </c>
      <c r="Q242" s="42">
        <v>0</v>
      </c>
      <c r="R242" s="42">
        <v>0</v>
      </c>
      <c r="S242" s="42">
        <v>0</v>
      </c>
      <c r="T242" s="42">
        <v>0</v>
      </c>
      <c r="U242" s="42">
        <v>0</v>
      </c>
      <c r="V242" s="42">
        <v>0</v>
      </c>
      <c r="W242" s="42">
        <v>0</v>
      </c>
      <c r="X242" s="36" t="s">
        <v>352</v>
      </c>
      <c r="Y242" s="36" t="s">
        <v>352</v>
      </c>
      <c r="Z242" s="36" t="s">
        <v>352</v>
      </c>
      <c r="AA242" s="36" t="s">
        <v>352</v>
      </c>
      <c r="AB242" s="36" t="s">
        <v>352</v>
      </c>
      <c r="AC242" s="36" t="s">
        <v>352</v>
      </c>
      <c r="AD242" s="36" t="s">
        <v>352</v>
      </c>
      <c r="AE242" s="36" t="s">
        <v>352</v>
      </c>
    </row>
    <row r="243" spans="1:31" ht="15" customHeight="1" x14ac:dyDescent="0.25">
      <c r="A243" s="38">
        <v>1620</v>
      </c>
      <c r="B243" s="39">
        <v>8228</v>
      </c>
      <c r="C243" s="39" t="s">
        <v>612</v>
      </c>
      <c r="D243" s="39" t="s">
        <v>613</v>
      </c>
      <c r="E243" s="39" t="s">
        <v>26</v>
      </c>
      <c r="F243" s="39" t="s">
        <v>605</v>
      </c>
      <c r="G243" s="40" t="str">
        <f>IF(LEN(ElecLkUp[[#This Row],[Ledger Code]])&gt;3,"AR"&amp;ElecLkUp[[#This Row],[Ledger Code]],"TBC")</f>
        <v>AR8228</v>
      </c>
      <c r="H243" s="115"/>
      <c r="I243" s="115"/>
      <c r="J243" s="115"/>
      <c r="K243" s="115"/>
      <c r="L243" s="115"/>
      <c r="M243" s="115"/>
      <c r="N243" s="115"/>
      <c r="O243" s="115"/>
      <c r="P243" s="42">
        <v>0</v>
      </c>
      <c r="Q243" s="42">
        <v>0</v>
      </c>
      <c r="R243" s="42">
        <v>0</v>
      </c>
      <c r="S243" s="42">
        <v>0</v>
      </c>
      <c r="T243" s="42">
        <v>0</v>
      </c>
      <c r="U243" s="42">
        <v>0</v>
      </c>
      <c r="V243" s="42">
        <v>0</v>
      </c>
      <c r="W243" s="42">
        <v>0</v>
      </c>
      <c r="X243" s="36" t="s">
        <v>352</v>
      </c>
      <c r="Y243" s="36" t="s">
        <v>352</v>
      </c>
      <c r="Z243" s="36" t="s">
        <v>352</v>
      </c>
      <c r="AA243" s="36" t="s">
        <v>352</v>
      </c>
      <c r="AB243" s="36" t="s">
        <v>352</v>
      </c>
      <c r="AC243" s="36" t="s">
        <v>352</v>
      </c>
      <c r="AD243" s="36" t="s">
        <v>352</v>
      </c>
      <c r="AE243" s="36" t="s">
        <v>352</v>
      </c>
    </row>
    <row r="244" spans="1:31" ht="15" customHeight="1" x14ac:dyDescent="0.25">
      <c r="A244" s="38">
        <v>1621</v>
      </c>
      <c r="B244" s="39">
        <v>8229</v>
      </c>
      <c r="C244" s="39" t="s">
        <v>614</v>
      </c>
      <c r="D244" s="39" t="s">
        <v>615</v>
      </c>
      <c r="E244" s="39" t="s">
        <v>26</v>
      </c>
      <c r="F244" s="39" t="s">
        <v>605</v>
      </c>
      <c r="G244" s="40" t="str">
        <f>IF(LEN(ElecLkUp[[#This Row],[Ledger Code]])&gt;3,"AR"&amp;ElecLkUp[[#This Row],[Ledger Code]],"TBC")</f>
        <v>AR8229</v>
      </c>
      <c r="H244" s="115"/>
      <c r="I244" s="115"/>
      <c r="J244" s="115"/>
      <c r="K244" s="115"/>
      <c r="L244" s="115"/>
      <c r="M244" s="115"/>
      <c r="N244" s="115"/>
      <c r="O244" s="115"/>
      <c r="P244" s="42">
        <v>0</v>
      </c>
      <c r="Q244" s="42">
        <v>3883.36</v>
      </c>
      <c r="R244" s="42">
        <v>0</v>
      </c>
      <c r="S244" s="42">
        <v>6845.25</v>
      </c>
      <c r="T244" s="42">
        <v>8644.2100000000028</v>
      </c>
      <c r="U244" s="42">
        <v>4720.7799999999988</v>
      </c>
      <c r="V244" s="42">
        <v>6927.39</v>
      </c>
      <c r="W244" s="42">
        <v>0</v>
      </c>
      <c r="X244" s="36" t="s">
        <v>352</v>
      </c>
      <c r="Y244" s="36" t="s">
        <v>352</v>
      </c>
      <c r="Z244" s="36" t="s">
        <v>352</v>
      </c>
      <c r="AA244" s="36" t="s">
        <v>352</v>
      </c>
      <c r="AB244" s="36" t="s">
        <v>352</v>
      </c>
      <c r="AC244" s="36" t="s">
        <v>352</v>
      </c>
      <c r="AD244" s="36" t="s">
        <v>352</v>
      </c>
      <c r="AE244" s="36" t="s">
        <v>352</v>
      </c>
    </row>
    <row r="245" spans="1:31" ht="15" customHeight="1" x14ac:dyDescent="0.25">
      <c r="A245" s="38">
        <v>1630</v>
      </c>
      <c r="B245" s="39">
        <v>8241</v>
      </c>
      <c r="C245" s="39" t="s">
        <v>616</v>
      </c>
      <c r="D245" s="39" t="s">
        <v>617</v>
      </c>
      <c r="E245" s="39" t="s">
        <v>26</v>
      </c>
      <c r="F245" s="39" t="s">
        <v>605</v>
      </c>
      <c r="G245" s="40" t="str">
        <f>IF(LEN(ElecLkUp[[#This Row],[Ledger Code]])&gt;3,"AR"&amp;ElecLkUp[[#This Row],[Ledger Code]],"TBC")</f>
        <v>AR8241</v>
      </c>
      <c r="H245" s="115"/>
      <c r="I245" s="115"/>
      <c r="J245" s="115"/>
      <c r="K245" s="115"/>
      <c r="L245" s="115"/>
      <c r="M245" s="115"/>
      <c r="N245" s="115"/>
      <c r="O245" s="115"/>
      <c r="P245" s="42">
        <v>0</v>
      </c>
      <c r="Q245" s="42">
        <v>0</v>
      </c>
      <c r="R245" s="42">
        <v>0</v>
      </c>
      <c r="S245" s="42">
        <v>0</v>
      </c>
      <c r="T245" s="42">
        <v>0</v>
      </c>
      <c r="U245" s="42">
        <v>0</v>
      </c>
      <c r="V245" s="42">
        <v>0</v>
      </c>
      <c r="W245" s="42">
        <v>0</v>
      </c>
      <c r="X245" s="36" t="s">
        <v>352</v>
      </c>
      <c r="Y245" s="36" t="s">
        <v>352</v>
      </c>
      <c r="Z245" s="36" t="s">
        <v>352</v>
      </c>
      <c r="AA245" s="36" t="s">
        <v>352</v>
      </c>
      <c r="AB245" s="36" t="s">
        <v>352</v>
      </c>
      <c r="AC245" s="36" t="s">
        <v>352</v>
      </c>
      <c r="AD245" s="36" t="s">
        <v>352</v>
      </c>
      <c r="AE245" s="36" t="s">
        <v>352</v>
      </c>
    </row>
    <row r="246" spans="1:31" ht="15" customHeight="1" x14ac:dyDescent="0.25">
      <c r="A246" s="38">
        <v>1566</v>
      </c>
      <c r="B246" s="39">
        <v>8284</v>
      </c>
      <c r="C246" s="39" t="s">
        <v>618</v>
      </c>
      <c r="D246" s="39" t="s">
        <v>619</v>
      </c>
      <c r="E246" s="39" t="s">
        <v>26</v>
      </c>
      <c r="F246" s="39" t="s">
        <v>605</v>
      </c>
      <c r="G246" s="40" t="str">
        <f>IF(LEN(ElecLkUp[[#This Row],[Ledger Code]])&gt;3,"AR"&amp;ElecLkUp[[#This Row],[Ledger Code]],"TBC")</f>
        <v>AR8284</v>
      </c>
      <c r="H246" s="115"/>
      <c r="I246" s="115"/>
      <c r="J246" s="115"/>
      <c r="K246" s="115"/>
      <c r="L246" s="115"/>
      <c r="M246" s="115"/>
      <c r="N246" s="115"/>
      <c r="O246" s="115"/>
      <c r="P246" s="42">
        <v>0</v>
      </c>
      <c r="Q246" s="42">
        <v>0</v>
      </c>
      <c r="R246" s="42">
        <v>0</v>
      </c>
      <c r="S246" s="42">
        <v>0</v>
      </c>
      <c r="T246" s="42">
        <v>0</v>
      </c>
      <c r="U246" s="42">
        <v>0</v>
      </c>
      <c r="V246" s="42">
        <v>0</v>
      </c>
      <c r="W246" s="42">
        <v>0</v>
      </c>
      <c r="X246" s="36" t="s">
        <v>352</v>
      </c>
      <c r="Y246" s="36" t="s">
        <v>352</v>
      </c>
      <c r="Z246" s="36" t="s">
        <v>352</v>
      </c>
      <c r="AA246" s="36" t="s">
        <v>352</v>
      </c>
      <c r="AB246" s="36" t="s">
        <v>352</v>
      </c>
      <c r="AC246" s="36" t="s">
        <v>352</v>
      </c>
      <c r="AD246" s="36" t="s">
        <v>352</v>
      </c>
      <c r="AE246" s="36" t="s">
        <v>352</v>
      </c>
    </row>
    <row r="247" spans="1:31" ht="15" customHeight="1" x14ac:dyDescent="0.25">
      <c r="A247" s="38">
        <v>5522</v>
      </c>
      <c r="B247" s="39">
        <v>8981</v>
      </c>
      <c r="C247" s="39" t="s">
        <v>620</v>
      </c>
      <c r="D247" s="39" t="s">
        <v>621</v>
      </c>
      <c r="E247" s="39" t="s">
        <v>26</v>
      </c>
      <c r="F247" s="39" t="s">
        <v>592</v>
      </c>
      <c r="G247" s="40" t="str">
        <f>IF(LEN(ElecLkUp[[#This Row],[Ledger Code]])&gt;3,"AR"&amp;ElecLkUp[[#This Row],[Ledger Code]],"TBC")</f>
        <v>AR8981</v>
      </c>
      <c r="H247" s="115"/>
      <c r="I247" s="115"/>
      <c r="J247" s="115"/>
      <c r="K247" s="115"/>
      <c r="L247" s="115"/>
      <c r="M247" s="115"/>
      <c r="N247" s="115"/>
      <c r="O247" s="115"/>
      <c r="P247" s="42">
        <v>0</v>
      </c>
      <c r="Q247" s="42">
        <v>0</v>
      </c>
      <c r="R247" s="42">
        <v>2.9103830456733704E-11</v>
      </c>
      <c r="S247" s="42">
        <v>0</v>
      </c>
      <c r="T247" s="42">
        <v>0</v>
      </c>
      <c r="U247" s="42">
        <v>25158.54</v>
      </c>
      <c r="V247" s="42">
        <v>54126.07</v>
      </c>
      <c r="W247" s="42">
        <v>53523.499999999993</v>
      </c>
      <c r="X247" s="36" t="s">
        <v>352</v>
      </c>
      <c r="Y247" s="36" t="s">
        <v>352</v>
      </c>
      <c r="Z247" s="36" t="s">
        <v>352</v>
      </c>
      <c r="AA247" s="36" t="s">
        <v>352</v>
      </c>
      <c r="AB247" s="36" t="s">
        <v>352</v>
      </c>
      <c r="AC247" s="36" t="s">
        <v>352</v>
      </c>
      <c r="AD247" s="36" t="s">
        <v>352</v>
      </c>
      <c r="AE247" s="36" t="s">
        <v>352</v>
      </c>
    </row>
    <row r="248" spans="1:31" ht="15" customHeight="1" x14ac:dyDescent="0.25">
      <c r="A248" s="38">
        <v>3153</v>
      </c>
      <c r="B248" s="39">
        <v>8524</v>
      </c>
      <c r="C248" s="39" t="s">
        <v>622</v>
      </c>
      <c r="D248" s="39" t="s">
        <v>623</v>
      </c>
      <c r="E248" s="39" t="s">
        <v>26</v>
      </c>
      <c r="F248" s="39" t="s">
        <v>573</v>
      </c>
      <c r="G248" s="40" t="str">
        <f>IF(LEN(ElecLkUp[[#This Row],[Ledger Code]])&gt;3,"AR"&amp;ElecLkUp[[#This Row],[Ledger Code]],"TBC")</f>
        <v>AR8524</v>
      </c>
      <c r="H248" s="115">
        <v>0</v>
      </c>
      <c r="I248" s="115">
        <v>0</v>
      </c>
      <c r="J248" s="115">
        <v>0</v>
      </c>
      <c r="K248" s="115">
        <v>69829</v>
      </c>
      <c r="L248" s="115">
        <v>20654</v>
      </c>
      <c r="M248" s="115">
        <v>16923</v>
      </c>
      <c r="N248" s="115">
        <v>6818</v>
      </c>
      <c r="O248" s="115">
        <v>20273</v>
      </c>
      <c r="P248" s="42">
        <v>0</v>
      </c>
      <c r="Q248" s="42">
        <v>0</v>
      </c>
      <c r="R248" s="42">
        <v>0</v>
      </c>
      <c r="S248" s="42">
        <v>8417.27</v>
      </c>
      <c r="T248" s="42">
        <v>2562.6699999999996</v>
      </c>
      <c r="U248" s="42">
        <v>2139.17</v>
      </c>
      <c r="V248" s="42">
        <v>1646.2799999999997</v>
      </c>
      <c r="W248" s="42">
        <v>2670.4400000000005</v>
      </c>
      <c r="X248" s="36">
        <v>0</v>
      </c>
      <c r="Y248" s="36">
        <v>0</v>
      </c>
      <c r="Z248" s="36">
        <v>0</v>
      </c>
      <c r="AA248" s="36">
        <v>69829</v>
      </c>
      <c r="AB248" s="36">
        <v>20654</v>
      </c>
      <c r="AC248" s="36">
        <v>16923</v>
      </c>
      <c r="AD248" s="36">
        <v>208787</v>
      </c>
      <c r="AE248" s="36">
        <v>194000</v>
      </c>
    </row>
    <row r="249" spans="1:31" ht="15" customHeight="1" x14ac:dyDescent="0.25">
      <c r="A249" s="38">
        <v>1882</v>
      </c>
      <c r="B249" s="39">
        <v>5861</v>
      </c>
      <c r="C249" s="39" t="s">
        <v>444</v>
      </c>
      <c r="D249" s="39" t="s">
        <v>445</v>
      </c>
      <c r="E249" s="39" t="s">
        <v>429</v>
      </c>
      <c r="F249" s="39" t="s">
        <v>98</v>
      </c>
      <c r="G249" s="40" t="str">
        <f>IF(LEN(ElecLkUp[[#This Row],[Ledger Code]])&gt;3,"AR"&amp;ElecLkUp[[#This Row],[Ledger Code]],"TBC")</f>
        <v>AR5861</v>
      </c>
      <c r="H249" s="115">
        <v>0</v>
      </c>
      <c r="I249" s="115">
        <v>0</v>
      </c>
      <c r="J249" s="115">
        <v>0</v>
      </c>
      <c r="K249" s="115">
        <v>0</v>
      </c>
      <c r="L249" s="115">
        <v>0</v>
      </c>
      <c r="M249" s="115">
        <v>0</v>
      </c>
      <c r="N249" s="115">
        <v>0</v>
      </c>
      <c r="O249" s="115">
        <v>0</v>
      </c>
      <c r="P249" s="42">
        <v>0</v>
      </c>
      <c r="Q249" s="42">
        <v>19868.28</v>
      </c>
      <c r="R249" s="42">
        <v>11954.21</v>
      </c>
      <c r="S249" s="42">
        <v>11665.77</v>
      </c>
      <c r="T249" s="42">
        <v>11902.619999999999</v>
      </c>
      <c r="U249" s="42">
        <v>48024.9</v>
      </c>
      <c r="V249" s="42">
        <v>-1443.5</v>
      </c>
      <c r="W249" s="42">
        <v>0</v>
      </c>
      <c r="X249" s="36">
        <v>0</v>
      </c>
      <c r="Y249" s="36">
        <v>0</v>
      </c>
      <c r="Z249" s="36">
        <v>0</v>
      </c>
      <c r="AA249" s="36">
        <v>0</v>
      </c>
      <c r="AB249" s="36">
        <v>0</v>
      </c>
      <c r="AC249" s="36">
        <v>0</v>
      </c>
      <c r="AD249" s="36">
        <v>0</v>
      </c>
      <c r="AE249" s="36">
        <v>0</v>
      </c>
    </row>
    <row r="250" spans="1:31" ht="15" customHeight="1" x14ac:dyDescent="0.25">
      <c r="A250" s="38">
        <v>2020</v>
      </c>
      <c r="B250" s="39">
        <v>5858</v>
      </c>
      <c r="C250" s="39" t="s">
        <v>446</v>
      </c>
      <c r="D250" s="39" t="s">
        <v>447</v>
      </c>
      <c r="E250" s="39" t="s">
        <v>429</v>
      </c>
      <c r="F250" s="39" t="s">
        <v>98</v>
      </c>
      <c r="G250" s="40" t="str">
        <f>IF(LEN(ElecLkUp[[#This Row],[Ledger Code]])&gt;3,"AR"&amp;ElecLkUp[[#This Row],[Ledger Code]],"TBC")</f>
        <v>AR5858</v>
      </c>
      <c r="H250" s="115"/>
      <c r="I250" s="115"/>
      <c r="J250" s="115"/>
      <c r="K250" s="115"/>
      <c r="L250" s="115"/>
      <c r="M250" s="115"/>
      <c r="N250" s="115"/>
      <c r="O250" s="115"/>
      <c r="P250" s="42">
        <v>0</v>
      </c>
      <c r="Q250" s="42">
        <v>0</v>
      </c>
      <c r="R250" s="42">
        <v>0</v>
      </c>
      <c r="S250" s="42">
        <v>0</v>
      </c>
      <c r="T250" s="42">
        <v>0</v>
      </c>
      <c r="U250" s="42">
        <v>186.97</v>
      </c>
      <c r="V250" s="42">
        <v>785.96999999999991</v>
      </c>
      <c r="W250" s="42">
        <v>253.5</v>
      </c>
      <c r="X250" s="36" t="s">
        <v>352</v>
      </c>
      <c r="Y250" s="36" t="s">
        <v>352</v>
      </c>
      <c r="Z250" s="36" t="s">
        <v>352</v>
      </c>
      <c r="AA250" s="36" t="s">
        <v>352</v>
      </c>
      <c r="AB250" s="36" t="s">
        <v>352</v>
      </c>
      <c r="AC250" s="36" t="s">
        <v>352</v>
      </c>
      <c r="AD250" s="36" t="s">
        <v>352</v>
      </c>
      <c r="AE250" s="36" t="s">
        <v>352</v>
      </c>
    </row>
    <row r="251" spans="1:31" ht="15" customHeight="1" x14ac:dyDescent="0.25">
      <c r="A251" s="38">
        <v>2023</v>
      </c>
      <c r="B251" s="39">
        <v>5862</v>
      </c>
      <c r="C251" s="39" t="s">
        <v>448</v>
      </c>
      <c r="D251" s="39" t="s">
        <v>449</v>
      </c>
      <c r="E251" s="39" t="s">
        <v>429</v>
      </c>
      <c r="F251" s="39" t="s">
        <v>98</v>
      </c>
      <c r="G251" s="40" t="str">
        <f>IF(LEN(ElecLkUp[[#This Row],[Ledger Code]])&gt;3,"AR"&amp;ElecLkUp[[#This Row],[Ledger Code]],"TBC")</f>
        <v>AR5862</v>
      </c>
      <c r="H251" s="115"/>
      <c r="I251" s="115"/>
      <c r="J251" s="115"/>
      <c r="K251" s="115"/>
      <c r="L251" s="115"/>
      <c r="M251" s="115"/>
      <c r="N251" s="115"/>
      <c r="O251" s="115"/>
      <c r="P251" s="42">
        <v>0</v>
      </c>
      <c r="Q251" s="42">
        <v>0</v>
      </c>
      <c r="R251" s="42">
        <v>0</v>
      </c>
      <c r="S251" s="42">
        <v>0</v>
      </c>
      <c r="T251" s="42">
        <v>0</v>
      </c>
      <c r="U251" s="42">
        <v>0</v>
      </c>
      <c r="V251" s="42">
        <v>0</v>
      </c>
      <c r="W251" s="42">
        <v>0</v>
      </c>
      <c r="X251" s="36" t="s">
        <v>352</v>
      </c>
      <c r="Y251" s="36" t="s">
        <v>352</v>
      </c>
      <c r="Z251" s="36" t="s">
        <v>352</v>
      </c>
      <c r="AA251" s="36" t="s">
        <v>352</v>
      </c>
      <c r="AB251" s="36" t="s">
        <v>352</v>
      </c>
      <c r="AC251" s="36" t="s">
        <v>352</v>
      </c>
      <c r="AD251" s="36" t="s">
        <v>352</v>
      </c>
      <c r="AE251" s="36" t="s">
        <v>352</v>
      </c>
    </row>
    <row r="252" spans="1:31" ht="15" customHeight="1" x14ac:dyDescent="0.25">
      <c r="A252" s="38">
        <v>2352</v>
      </c>
      <c r="B252" s="39">
        <v>6003</v>
      </c>
      <c r="C252" s="39" t="s">
        <v>450</v>
      </c>
      <c r="D252" s="39" t="s">
        <v>110</v>
      </c>
      <c r="E252" s="39" t="s">
        <v>429</v>
      </c>
      <c r="F252" s="39" t="s">
        <v>98</v>
      </c>
      <c r="G252" s="40" t="str">
        <f>IF(LEN(ElecLkUp[[#This Row],[Ledger Code]])&gt;3,"AR"&amp;ElecLkUp[[#This Row],[Ledger Code]],"TBC")</f>
        <v>AR6003</v>
      </c>
      <c r="H252" s="115"/>
      <c r="I252" s="115"/>
      <c r="J252" s="115"/>
      <c r="K252" s="115"/>
      <c r="L252" s="115"/>
      <c r="M252" s="115"/>
      <c r="N252" s="115"/>
      <c r="O252" s="115"/>
      <c r="P252" s="42">
        <v>3431.61</v>
      </c>
      <c r="Q252" s="42">
        <v>4741.25</v>
      </c>
      <c r="R252" s="42">
        <v>2962.7000000000016</v>
      </c>
      <c r="S252" s="42">
        <v>8557.1999999999989</v>
      </c>
      <c r="T252" s="42">
        <v>5183.6500000000005</v>
      </c>
      <c r="U252" s="42">
        <v>5557.6499999999978</v>
      </c>
      <c r="V252" s="42">
        <v>4016.6299999999997</v>
      </c>
      <c r="W252" s="42">
        <v>6464.96</v>
      </c>
      <c r="X252" s="36" t="s">
        <v>352</v>
      </c>
      <c r="Y252" s="36" t="s">
        <v>352</v>
      </c>
      <c r="Z252" s="36" t="s">
        <v>352</v>
      </c>
      <c r="AA252" s="36" t="s">
        <v>352</v>
      </c>
      <c r="AB252" s="36" t="s">
        <v>352</v>
      </c>
      <c r="AC252" s="36" t="s">
        <v>352</v>
      </c>
      <c r="AD252" s="36" t="s">
        <v>352</v>
      </c>
      <c r="AE252" s="36" t="s">
        <v>352</v>
      </c>
    </row>
    <row r="253" spans="1:31" ht="15" customHeight="1" x14ac:dyDescent="0.25">
      <c r="A253" s="38">
        <v>2382</v>
      </c>
      <c r="B253" s="39">
        <v>6164</v>
      </c>
      <c r="C253" s="39" t="s">
        <v>478</v>
      </c>
      <c r="D253" s="39" t="s">
        <v>479</v>
      </c>
      <c r="E253" s="39" t="s">
        <v>429</v>
      </c>
      <c r="F253" s="39" t="s">
        <v>98</v>
      </c>
      <c r="G253" s="40" t="str">
        <f>IF(LEN(ElecLkUp[[#This Row],[Ledger Code]])&gt;3,"AR"&amp;ElecLkUp[[#This Row],[Ledger Code]],"TBC")</f>
        <v>AR6164</v>
      </c>
      <c r="H253" s="115"/>
      <c r="I253" s="115"/>
      <c r="J253" s="115"/>
      <c r="K253" s="115"/>
      <c r="L253" s="115"/>
      <c r="M253" s="115"/>
      <c r="N253" s="115"/>
      <c r="O253" s="115"/>
      <c r="P253" s="42">
        <v>0</v>
      </c>
      <c r="Q253" s="42">
        <v>0</v>
      </c>
      <c r="R253" s="42">
        <v>0</v>
      </c>
      <c r="S253" s="42">
        <v>0</v>
      </c>
      <c r="T253" s="42">
        <v>0</v>
      </c>
      <c r="U253" s="42">
        <v>24357.89</v>
      </c>
      <c r="V253" s="42">
        <v>19073.57</v>
      </c>
      <c r="W253" s="42">
        <v>2812.2499999999986</v>
      </c>
      <c r="X253" s="36" t="s">
        <v>352</v>
      </c>
      <c r="Y253" s="36" t="s">
        <v>352</v>
      </c>
      <c r="Z253" s="36" t="s">
        <v>352</v>
      </c>
      <c r="AA253" s="36" t="s">
        <v>352</v>
      </c>
      <c r="AB253" s="36" t="s">
        <v>352</v>
      </c>
      <c r="AC253" s="36" t="s">
        <v>352</v>
      </c>
      <c r="AD253" s="36" t="s">
        <v>352</v>
      </c>
      <c r="AE253" s="36" t="s">
        <v>352</v>
      </c>
    </row>
    <row r="254" spans="1:31" ht="15" customHeight="1" x14ac:dyDescent="0.25">
      <c r="A254" s="38">
        <v>6060</v>
      </c>
      <c r="B254" s="39" t="s">
        <v>387</v>
      </c>
      <c r="C254" s="39" t="s">
        <v>451</v>
      </c>
      <c r="D254" s="39" t="s">
        <v>108</v>
      </c>
      <c r="E254" s="39" t="s">
        <v>429</v>
      </c>
      <c r="F254" s="39" t="s">
        <v>98</v>
      </c>
      <c r="G254" s="40" t="str">
        <f>IF(LEN(ElecLkUp[[#This Row],[Ledger Code]])&gt;3,"AR"&amp;ElecLkUp[[#This Row],[Ledger Code]],"TBC")</f>
        <v>TBC</v>
      </c>
      <c r="H254" s="115"/>
      <c r="I254" s="115"/>
      <c r="J254" s="115"/>
      <c r="K254" s="115"/>
      <c r="L254" s="115"/>
      <c r="M254" s="115"/>
      <c r="N254" s="115"/>
      <c r="O254" s="115"/>
      <c r="P254" s="42">
        <v>0</v>
      </c>
      <c r="Q254" s="42">
        <v>0</v>
      </c>
      <c r="R254" s="42">
        <v>0</v>
      </c>
      <c r="S254" s="42">
        <v>0</v>
      </c>
      <c r="T254" s="42">
        <v>0</v>
      </c>
      <c r="U254" s="42">
        <v>0</v>
      </c>
      <c r="V254" s="42">
        <v>0</v>
      </c>
      <c r="W254" s="42">
        <v>0</v>
      </c>
      <c r="X254" s="36" t="s">
        <v>352</v>
      </c>
      <c r="Y254" s="36" t="s">
        <v>352</v>
      </c>
      <c r="Z254" s="36" t="s">
        <v>352</v>
      </c>
      <c r="AA254" s="36" t="s">
        <v>352</v>
      </c>
      <c r="AB254" s="36" t="s">
        <v>352</v>
      </c>
      <c r="AC254" s="36" t="s">
        <v>352</v>
      </c>
      <c r="AD254" s="36" t="s">
        <v>352</v>
      </c>
      <c r="AE254" s="36" t="s">
        <v>352</v>
      </c>
    </row>
    <row r="255" spans="1:31" ht="15" customHeight="1" x14ac:dyDescent="0.25">
      <c r="A255" s="38">
        <v>2301</v>
      </c>
      <c r="B255" s="39">
        <v>5953</v>
      </c>
      <c r="C255" s="39" t="s">
        <v>452</v>
      </c>
      <c r="D255" s="39" t="s">
        <v>453</v>
      </c>
      <c r="E255" s="39" t="s">
        <v>429</v>
      </c>
      <c r="F255" s="39" t="s">
        <v>98</v>
      </c>
      <c r="G255" s="40" t="str">
        <f>IF(LEN(ElecLkUp[[#This Row],[Ledger Code]])&gt;3,"AR"&amp;ElecLkUp[[#This Row],[Ledger Code]],"TBC")</f>
        <v>AR5953</v>
      </c>
      <c r="H255" s="115"/>
      <c r="I255" s="115"/>
      <c r="J255" s="115"/>
      <c r="K255" s="115"/>
      <c r="L255" s="115"/>
      <c r="M255" s="115"/>
      <c r="N255" s="115"/>
      <c r="O255" s="115"/>
      <c r="P255" s="42">
        <v>0</v>
      </c>
      <c r="Q255" s="42">
        <v>0</v>
      </c>
      <c r="R255" s="42">
        <v>0</v>
      </c>
      <c r="S255" s="42">
        <v>0</v>
      </c>
      <c r="T255" s="42">
        <v>0</v>
      </c>
      <c r="U255" s="42">
        <v>0</v>
      </c>
      <c r="V255" s="42">
        <v>0</v>
      </c>
      <c r="W255" s="42">
        <v>0</v>
      </c>
      <c r="X255" s="36" t="s">
        <v>352</v>
      </c>
      <c r="Y255" s="36" t="s">
        <v>352</v>
      </c>
      <c r="Z255" s="36" t="s">
        <v>352</v>
      </c>
      <c r="AA255" s="36" t="s">
        <v>352</v>
      </c>
      <c r="AB255" s="36" t="s">
        <v>352</v>
      </c>
      <c r="AC255" s="36" t="s">
        <v>352</v>
      </c>
      <c r="AD255" s="36" t="s">
        <v>352</v>
      </c>
      <c r="AE255" s="36" t="s">
        <v>352</v>
      </c>
    </row>
    <row r="256" spans="1:31" ht="15" customHeight="1" x14ac:dyDescent="0.25">
      <c r="A256" s="38">
        <v>2086</v>
      </c>
      <c r="B256" s="39">
        <v>5872</v>
      </c>
      <c r="C256" s="39" t="s">
        <v>430</v>
      </c>
      <c r="D256" s="39" t="s">
        <v>431</v>
      </c>
      <c r="E256" s="39" t="s">
        <v>429</v>
      </c>
      <c r="F256" s="39" t="s">
        <v>98</v>
      </c>
      <c r="G256" s="40" t="str">
        <f>IF(LEN(ElecLkUp[[#This Row],[Ledger Code]])&gt;3,"AR"&amp;ElecLkUp[[#This Row],[Ledger Code]],"TBC")</f>
        <v>AR5872</v>
      </c>
      <c r="H256" s="115">
        <v>297454.90000000002</v>
      </c>
      <c r="I256" s="115">
        <v>316511</v>
      </c>
      <c r="J256" s="115">
        <v>329118.59999999998</v>
      </c>
      <c r="K256" s="115">
        <v>332086.2</v>
      </c>
      <c r="L256" s="115">
        <v>322740.59999999998</v>
      </c>
      <c r="M256" s="115">
        <v>319182.59999999998</v>
      </c>
      <c r="N256" s="115">
        <v>106836.5</v>
      </c>
      <c r="O256" s="115">
        <v>0</v>
      </c>
      <c r="P256" s="42">
        <v>0</v>
      </c>
      <c r="Q256" s="42">
        <v>59053.409999999996</v>
      </c>
      <c r="R256" s="42">
        <v>36577.81</v>
      </c>
      <c r="S256" s="42">
        <v>37604.629999999997</v>
      </c>
      <c r="T256" s="42">
        <v>38712.92</v>
      </c>
      <c r="U256" s="42">
        <v>36760.149999999994</v>
      </c>
      <c r="V256" s="42">
        <v>36442.990000000005</v>
      </c>
      <c r="W256" s="42">
        <v>-31903.130000000034</v>
      </c>
      <c r="X256" s="36">
        <v>297454.90000000002</v>
      </c>
      <c r="Y256" s="36">
        <v>316511</v>
      </c>
      <c r="Z256" s="36">
        <v>329118.59999999998</v>
      </c>
      <c r="AA256" s="36">
        <v>332086.2</v>
      </c>
      <c r="AB256" s="36">
        <v>322740.59999999998</v>
      </c>
      <c r="AC256" s="36">
        <v>319182.59999999998</v>
      </c>
      <c r="AD256" s="36">
        <v>106836.5</v>
      </c>
      <c r="AE256" s="36">
        <v>0</v>
      </c>
    </row>
    <row r="257" spans="1:31" ht="15" customHeight="1" x14ac:dyDescent="0.25">
      <c r="A257" s="38">
        <v>1347</v>
      </c>
      <c r="B257" s="39">
        <v>5666</v>
      </c>
      <c r="C257" s="39" t="s">
        <v>454</v>
      </c>
      <c r="D257" s="39" t="s">
        <v>455</v>
      </c>
      <c r="E257" s="39" t="s">
        <v>429</v>
      </c>
      <c r="F257" s="39" t="s">
        <v>83</v>
      </c>
      <c r="G257" s="40" t="str">
        <f>IF(LEN(ElecLkUp[[#This Row],[Ledger Code]])&gt;3,"AR"&amp;ElecLkUp[[#This Row],[Ledger Code]],"TBC")</f>
        <v>AR5666</v>
      </c>
      <c r="H257" s="115"/>
      <c r="I257" s="115"/>
      <c r="J257" s="115"/>
      <c r="K257" s="115"/>
      <c r="L257" s="115"/>
      <c r="M257" s="115"/>
      <c r="N257" s="115"/>
      <c r="O257" s="115"/>
      <c r="P257" s="42">
        <v>1603.09</v>
      </c>
      <c r="Q257" s="42">
        <v>5058.62</v>
      </c>
      <c r="R257" s="42">
        <v>2570.0699999999988</v>
      </c>
      <c r="S257" s="42">
        <v>5491.5999999999995</v>
      </c>
      <c r="T257" s="42">
        <v>3562.25</v>
      </c>
      <c r="U257" s="42">
        <v>6325.3099999999986</v>
      </c>
      <c r="V257" s="42">
        <v>1070.5100000000002</v>
      </c>
      <c r="W257" s="42">
        <v>4485.6500000000005</v>
      </c>
      <c r="X257" s="36" t="s">
        <v>352</v>
      </c>
      <c r="Y257" s="36" t="s">
        <v>352</v>
      </c>
      <c r="Z257" s="36" t="s">
        <v>352</v>
      </c>
      <c r="AA257" s="36" t="s">
        <v>352</v>
      </c>
      <c r="AB257" s="36" t="s">
        <v>352</v>
      </c>
      <c r="AC257" s="36" t="s">
        <v>352</v>
      </c>
      <c r="AD257" s="36" t="s">
        <v>352</v>
      </c>
      <c r="AE257" s="36" t="s">
        <v>352</v>
      </c>
    </row>
    <row r="258" spans="1:31" ht="15" customHeight="1" x14ac:dyDescent="0.25">
      <c r="A258" s="38">
        <v>1368</v>
      </c>
      <c r="B258" s="39">
        <v>5619</v>
      </c>
      <c r="C258" s="39" t="s">
        <v>456</v>
      </c>
      <c r="D258" s="39" t="s">
        <v>457</v>
      </c>
      <c r="E258" s="39" t="s">
        <v>429</v>
      </c>
      <c r="F258" s="39" t="s">
        <v>83</v>
      </c>
      <c r="G258" s="40" t="str">
        <f>IF(LEN(ElecLkUp[[#This Row],[Ledger Code]])&gt;3,"AR"&amp;ElecLkUp[[#This Row],[Ledger Code]],"TBC")</f>
        <v>AR5619</v>
      </c>
      <c r="H258" s="115"/>
      <c r="I258" s="115"/>
      <c r="J258" s="115"/>
      <c r="K258" s="115"/>
      <c r="L258" s="115"/>
      <c r="M258" s="115"/>
      <c r="N258" s="115"/>
      <c r="O258" s="115"/>
      <c r="P258" s="42">
        <v>0</v>
      </c>
      <c r="Q258" s="42">
        <v>0</v>
      </c>
      <c r="R258" s="42">
        <v>-1.1368683772161603E-13</v>
      </c>
      <c r="S258" s="42">
        <v>0</v>
      </c>
      <c r="T258" s="42">
        <v>1221.74</v>
      </c>
      <c r="U258" s="42">
        <v>1420.1299999999992</v>
      </c>
      <c r="V258" s="42">
        <v>606.6099999999999</v>
      </c>
      <c r="W258" s="42">
        <v>866.57000000000016</v>
      </c>
      <c r="X258" s="36" t="s">
        <v>352</v>
      </c>
      <c r="Y258" s="36" t="s">
        <v>352</v>
      </c>
      <c r="Z258" s="36" t="s">
        <v>352</v>
      </c>
      <c r="AA258" s="36" t="s">
        <v>352</v>
      </c>
      <c r="AB258" s="36" t="s">
        <v>352</v>
      </c>
      <c r="AC258" s="36" t="s">
        <v>352</v>
      </c>
      <c r="AD258" s="36" t="s">
        <v>352</v>
      </c>
      <c r="AE258" s="36" t="s">
        <v>352</v>
      </c>
    </row>
    <row r="259" spans="1:31" ht="15" customHeight="1" x14ac:dyDescent="0.25">
      <c r="A259" s="38">
        <v>1392</v>
      </c>
      <c r="B259" s="39">
        <v>5644</v>
      </c>
      <c r="C259" s="39" t="s">
        <v>458</v>
      </c>
      <c r="D259" s="39" t="s">
        <v>459</v>
      </c>
      <c r="E259" s="39" t="s">
        <v>429</v>
      </c>
      <c r="F259" s="39" t="s">
        <v>83</v>
      </c>
      <c r="G259" s="40" t="str">
        <f>IF(LEN(ElecLkUp[[#This Row],[Ledger Code]])&gt;3,"AR"&amp;ElecLkUp[[#This Row],[Ledger Code]],"TBC")</f>
        <v>AR5644</v>
      </c>
      <c r="H259" s="115">
        <v>0</v>
      </c>
      <c r="I259" s="115">
        <v>61164</v>
      </c>
      <c r="J259" s="115">
        <v>40247</v>
      </c>
      <c r="K259" s="115">
        <v>114343</v>
      </c>
      <c r="L259" s="115">
        <v>38342</v>
      </c>
      <c r="M259" s="115">
        <v>18246</v>
      </c>
      <c r="N259" s="115">
        <v>17769</v>
      </c>
      <c r="O259" s="115">
        <v>33087</v>
      </c>
      <c r="P259" s="42">
        <v>0</v>
      </c>
      <c r="Q259" s="42">
        <v>0</v>
      </c>
      <c r="R259" s="42">
        <v>9550.679999999993</v>
      </c>
      <c r="S259" s="42">
        <v>9461.5400000000009</v>
      </c>
      <c r="T259" s="42">
        <v>3366.2700000000009</v>
      </c>
      <c r="U259" s="42">
        <v>2586.7699999999995</v>
      </c>
      <c r="V259" s="42">
        <v>2738.4000000000005</v>
      </c>
      <c r="W259" s="42">
        <v>2301.96</v>
      </c>
      <c r="X259" s="36">
        <v>0</v>
      </c>
      <c r="Y259" s="36">
        <v>61164</v>
      </c>
      <c r="Z259" s="36">
        <v>40247</v>
      </c>
      <c r="AA259" s="36">
        <v>114343</v>
      </c>
      <c r="AB259" s="36">
        <v>38342</v>
      </c>
      <c r="AC259" s="36">
        <v>18246</v>
      </c>
      <c r="AD259" s="36">
        <v>219738</v>
      </c>
      <c r="AE259" s="36">
        <v>206814</v>
      </c>
    </row>
    <row r="260" spans="1:31" ht="15" customHeight="1" x14ac:dyDescent="0.25">
      <c r="A260" s="38">
        <v>1412</v>
      </c>
      <c r="B260" s="39">
        <v>5733</v>
      </c>
      <c r="C260" s="39" t="s">
        <v>460</v>
      </c>
      <c r="D260" s="39" t="s">
        <v>461</v>
      </c>
      <c r="E260" s="39" t="s">
        <v>429</v>
      </c>
      <c r="F260" s="39" t="s">
        <v>83</v>
      </c>
      <c r="G260" s="40" t="str">
        <f>IF(LEN(ElecLkUp[[#This Row],[Ledger Code]])&gt;3,"AR"&amp;ElecLkUp[[#This Row],[Ledger Code]],"TBC")</f>
        <v>AR5733</v>
      </c>
      <c r="H260" s="115">
        <v>69896.7</v>
      </c>
      <c r="I260" s="115">
        <v>53880.3</v>
      </c>
      <c r="J260" s="115">
        <v>65871.199999999997</v>
      </c>
      <c r="K260" s="115">
        <v>68885.8</v>
      </c>
      <c r="L260" s="115">
        <v>56268.6</v>
      </c>
      <c r="M260" s="115">
        <v>53485.9</v>
      </c>
      <c r="N260" s="115">
        <v>20352.2</v>
      </c>
      <c r="O260" s="115">
        <v>0</v>
      </c>
      <c r="P260" s="42">
        <v>0</v>
      </c>
      <c r="Q260" s="42">
        <v>-2.2737367544323206E-13</v>
      </c>
      <c r="R260" s="42">
        <v>0</v>
      </c>
      <c r="S260" s="42">
        <v>31252.25</v>
      </c>
      <c r="T260" s="42">
        <v>7986.8100000000013</v>
      </c>
      <c r="U260" s="42">
        <v>6691.6100000000015</v>
      </c>
      <c r="V260" s="42">
        <v>7806.35</v>
      </c>
      <c r="W260" s="42">
        <v>2971.5800000000004</v>
      </c>
      <c r="X260" s="36">
        <v>69896.7</v>
      </c>
      <c r="Y260" s="36">
        <v>53880.3</v>
      </c>
      <c r="Z260" s="36">
        <v>65871.199999999997</v>
      </c>
      <c r="AA260" s="36">
        <v>68885.8</v>
      </c>
      <c r="AB260" s="36">
        <v>56268.6</v>
      </c>
      <c r="AC260" s="36">
        <v>53485.9</v>
      </c>
      <c r="AD260" s="36">
        <v>20352.2</v>
      </c>
      <c r="AE260" s="36">
        <v>0</v>
      </c>
    </row>
    <row r="261" spans="1:31" ht="15" customHeight="1" x14ac:dyDescent="0.25">
      <c r="A261" s="38">
        <v>1418</v>
      </c>
      <c r="B261" s="39">
        <v>5740</v>
      </c>
      <c r="C261" s="39" t="s">
        <v>442</v>
      </c>
      <c r="D261" s="39" t="s">
        <v>443</v>
      </c>
      <c r="E261" s="39" t="s">
        <v>429</v>
      </c>
      <c r="F261" s="39" t="s">
        <v>83</v>
      </c>
      <c r="G261" s="40" t="str">
        <f>IF(LEN(ElecLkUp[[#This Row],[Ledger Code]])&gt;3,"AR"&amp;ElecLkUp[[#This Row],[Ledger Code]],"TBC")</f>
        <v>AR5740</v>
      </c>
      <c r="H261" s="115">
        <v>0</v>
      </c>
      <c r="I261" s="115">
        <v>0</v>
      </c>
      <c r="J261" s="115">
        <v>0</v>
      </c>
      <c r="K261" s="115">
        <v>90632</v>
      </c>
      <c r="L261" s="115">
        <v>18829</v>
      </c>
      <c r="M261" s="115">
        <v>21590</v>
      </c>
      <c r="N261" s="115">
        <v>19252</v>
      </c>
      <c r="O261" s="115">
        <v>25289</v>
      </c>
      <c r="P261" s="42">
        <v>0</v>
      </c>
      <c r="Q261" s="42">
        <v>0</v>
      </c>
      <c r="R261" s="42">
        <v>8161.59</v>
      </c>
      <c r="S261" s="42">
        <v>3393.9</v>
      </c>
      <c r="T261" s="42">
        <v>2303.94</v>
      </c>
      <c r="U261" s="42">
        <v>2698.0299999999988</v>
      </c>
      <c r="V261" s="42">
        <v>3365.5200000000009</v>
      </c>
      <c r="W261" s="42">
        <v>1972.8400000000001</v>
      </c>
      <c r="X261" s="36">
        <v>0</v>
      </c>
      <c r="Y261" s="36">
        <v>0</v>
      </c>
      <c r="Z261" s="36">
        <v>0</v>
      </c>
      <c r="AA261" s="36">
        <v>90632</v>
      </c>
      <c r="AB261" s="36">
        <v>18829</v>
      </c>
      <c r="AC261" s="36">
        <v>21590</v>
      </c>
      <c r="AD261" s="36">
        <v>221221</v>
      </c>
      <c r="AE261" s="36">
        <v>199016</v>
      </c>
    </row>
    <row r="262" spans="1:31" ht="15" customHeight="1" x14ac:dyDescent="0.25">
      <c r="A262" s="38">
        <v>1437</v>
      </c>
      <c r="B262" s="39">
        <v>5663</v>
      </c>
      <c r="C262" s="39" t="s">
        <v>464</v>
      </c>
      <c r="D262" s="39" t="s">
        <v>465</v>
      </c>
      <c r="E262" s="39" t="s">
        <v>429</v>
      </c>
      <c r="F262" s="39" t="s">
        <v>83</v>
      </c>
      <c r="G262" s="40" t="str">
        <f>IF(LEN(ElecLkUp[[#This Row],[Ledger Code]])&gt;3,"AR"&amp;ElecLkUp[[#This Row],[Ledger Code]],"TBC")</f>
        <v>AR5663</v>
      </c>
      <c r="H262" s="115">
        <v>0</v>
      </c>
      <c r="I262" s="115">
        <v>0</v>
      </c>
      <c r="J262" s="115">
        <v>0</v>
      </c>
      <c r="K262" s="115">
        <v>5533.9</v>
      </c>
      <c r="L262" s="115">
        <v>14018.2</v>
      </c>
      <c r="M262" s="115">
        <v>13729.5</v>
      </c>
      <c r="N262" s="115">
        <v>6026.6</v>
      </c>
      <c r="O262" s="115">
        <v>0</v>
      </c>
      <c r="P262" s="42">
        <v>0</v>
      </c>
      <c r="Q262" s="42">
        <v>0</v>
      </c>
      <c r="R262" s="42">
        <v>7033.8100000000022</v>
      </c>
      <c r="S262" s="42">
        <v>4099.7000000000007</v>
      </c>
      <c r="T262" s="42">
        <v>2146.65</v>
      </c>
      <c r="U262" s="42">
        <v>-5109.0700000000006</v>
      </c>
      <c r="V262" s="42">
        <v>2484.8799999999992</v>
      </c>
      <c r="W262" s="42">
        <v>910.89999999999952</v>
      </c>
      <c r="X262" s="36">
        <v>0</v>
      </c>
      <c r="Y262" s="36">
        <v>0</v>
      </c>
      <c r="Z262" s="36">
        <v>0</v>
      </c>
      <c r="AA262" s="36">
        <v>5533.9</v>
      </c>
      <c r="AB262" s="36">
        <v>14018.2</v>
      </c>
      <c r="AC262" s="36">
        <v>13729.5</v>
      </c>
      <c r="AD262" s="36">
        <v>6026.6</v>
      </c>
      <c r="AE262" s="36">
        <v>0</v>
      </c>
    </row>
    <row r="263" spans="1:31" ht="15" customHeight="1" x14ac:dyDescent="0.25">
      <c r="A263" s="38">
        <v>2770</v>
      </c>
      <c r="B263" s="39">
        <v>6302</v>
      </c>
      <c r="C263" s="39" t="s">
        <v>466</v>
      </c>
      <c r="D263" s="39" t="s">
        <v>467</v>
      </c>
      <c r="E263" s="39" t="s">
        <v>429</v>
      </c>
      <c r="F263" s="39" t="s">
        <v>83</v>
      </c>
      <c r="G263" s="40" t="str">
        <f>IF(LEN(ElecLkUp[[#This Row],[Ledger Code]])&gt;3,"AR"&amp;ElecLkUp[[#This Row],[Ledger Code]],"TBC")</f>
        <v>AR6302</v>
      </c>
      <c r="H263" s="115"/>
      <c r="I263" s="115"/>
      <c r="J263" s="115"/>
      <c r="K263" s="115"/>
      <c r="L263" s="115"/>
      <c r="M263" s="115"/>
      <c r="N263" s="115"/>
      <c r="O263" s="115"/>
      <c r="P263" s="42">
        <v>0</v>
      </c>
      <c r="Q263" s="42">
        <v>0</v>
      </c>
      <c r="R263" s="42">
        <v>0</v>
      </c>
      <c r="S263" s="42">
        <v>0</v>
      </c>
      <c r="T263" s="42">
        <v>0</v>
      </c>
      <c r="U263" s="42">
        <v>0</v>
      </c>
      <c r="V263" s="42">
        <v>4647.5</v>
      </c>
      <c r="W263" s="42">
        <v>272.26</v>
      </c>
      <c r="X263" s="36" t="s">
        <v>352</v>
      </c>
      <c r="Y263" s="36" t="s">
        <v>352</v>
      </c>
      <c r="Z263" s="36" t="s">
        <v>352</v>
      </c>
      <c r="AA263" s="36" t="s">
        <v>352</v>
      </c>
      <c r="AB263" s="36" t="s">
        <v>352</v>
      </c>
      <c r="AC263" s="36" t="s">
        <v>352</v>
      </c>
      <c r="AD263" s="36" t="s">
        <v>352</v>
      </c>
      <c r="AE263" s="36" t="s">
        <v>352</v>
      </c>
    </row>
    <row r="264" spans="1:31" ht="15" customHeight="1" x14ac:dyDescent="0.25">
      <c r="A264" s="38">
        <v>2779</v>
      </c>
      <c r="B264" s="39">
        <v>6311</v>
      </c>
      <c r="C264" s="39" t="s">
        <v>427</v>
      </c>
      <c r="D264" s="39" t="s">
        <v>428</v>
      </c>
      <c r="E264" s="39" t="s">
        <v>429</v>
      </c>
      <c r="F264" s="39" t="s">
        <v>83</v>
      </c>
      <c r="G264" s="40" t="str">
        <f>IF(LEN(ElecLkUp[[#This Row],[Ledger Code]])&gt;3,"AR"&amp;ElecLkUp[[#This Row],[Ledger Code]],"TBC")</f>
        <v>AR6311</v>
      </c>
      <c r="H264" s="115">
        <v>0</v>
      </c>
      <c r="I264" s="115">
        <v>0</v>
      </c>
      <c r="J264" s="115">
        <v>0</v>
      </c>
      <c r="K264" s="115">
        <v>266290</v>
      </c>
      <c r="L264" s="115">
        <v>54097</v>
      </c>
      <c r="M264" s="115">
        <v>29618</v>
      </c>
      <c r="N264" s="115">
        <v>20684</v>
      </c>
      <c r="O264" s="115">
        <v>59016</v>
      </c>
      <c r="P264" s="42">
        <v>0</v>
      </c>
      <c r="Q264" s="42">
        <v>0</v>
      </c>
      <c r="R264" s="42">
        <v>0</v>
      </c>
      <c r="S264" s="42">
        <v>32286.97</v>
      </c>
      <c r="T264" s="42">
        <v>6765.3599999999988</v>
      </c>
      <c r="U264" s="42">
        <v>3774.33</v>
      </c>
      <c r="V264" s="42">
        <v>2439.87</v>
      </c>
      <c r="W264" s="42">
        <v>9022.2999999999993</v>
      </c>
      <c r="X264" s="36">
        <v>0</v>
      </c>
      <c r="Y264" s="36">
        <v>0</v>
      </c>
      <c r="Z264" s="36">
        <v>0</v>
      </c>
      <c r="AA264" s="36">
        <v>266290</v>
      </c>
      <c r="AB264" s="36">
        <v>54097</v>
      </c>
      <c r="AC264" s="36">
        <v>29618</v>
      </c>
      <c r="AD264" s="36">
        <v>222653</v>
      </c>
      <c r="AE264" s="36">
        <v>232743</v>
      </c>
    </row>
    <row r="265" spans="1:31" ht="15" customHeight="1" x14ac:dyDescent="0.25">
      <c r="A265" s="38">
        <v>2965</v>
      </c>
      <c r="B265" s="39">
        <v>6333</v>
      </c>
      <c r="C265" s="39" t="s">
        <v>438</v>
      </c>
      <c r="D265" s="39" t="s">
        <v>439</v>
      </c>
      <c r="E265" s="39" t="s">
        <v>429</v>
      </c>
      <c r="F265" s="39" t="s">
        <v>83</v>
      </c>
      <c r="G265" s="40" t="str">
        <f>IF(LEN(ElecLkUp[[#This Row],[Ledger Code]])&gt;3,"AR"&amp;ElecLkUp[[#This Row],[Ledger Code]],"TBC")</f>
        <v>AR6333</v>
      </c>
      <c r="H265" s="115">
        <v>0</v>
      </c>
      <c r="I265" s="115">
        <v>0</v>
      </c>
      <c r="J265" s="115">
        <v>13726</v>
      </c>
      <c r="K265" s="115">
        <v>6869</v>
      </c>
      <c r="L265" s="115">
        <v>5805</v>
      </c>
      <c r="M265" s="115">
        <v>6142</v>
      </c>
      <c r="N265" s="115">
        <v>2102</v>
      </c>
      <c r="O265" s="115">
        <v>6194</v>
      </c>
      <c r="P265" s="42">
        <v>0</v>
      </c>
      <c r="Q265" s="42">
        <v>0</v>
      </c>
      <c r="R265" s="42">
        <v>1799.2</v>
      </c>
      <c r="S265" s="42">
        <v>848</v>
      </c>
      <c r="T265" s="42">
        <v>738.11</v>
      </c>
      <c r="U265" s="42">
        <v>811.75999999999988</v>
      </c>
      <c r="V265" s="42">
        <v>614.22</v>
      </c>
      <c r="W265" s="42">
        <v>764.48</v>
      </c>
      <c r="X265" s="36">
        <v>0</v>
      </c>
      <c r="Y265" s="36">
        <v>0</v>
      </c>
      <c r="Z265" s="36">
        <v>13726</v>
      </c>
      <c r="AA265" s="36">
        <v>6869</v>
      </c>
      <c r="AB265" s="36">
        <v>5805</v>
      </c>
      <c r="AC265" s="36">
        <v>6142</v>
      </c>
      <c r="AD265" s="36">
        <v>204071</v>
      </c>
      <c r="AE265" s="36">
        <v>179921</v>
      </c>
    </row>
    <row r="266" spans="1:31" ht="15" customHeight="1" x14ac:dyDescent="0.25">
      <c r="A266" s="38">
        <v>2976</v>
      </c>
      <c r="B266" s="39">
        <v>6345</v>
      </c>
      <c r="C266" s="39" t="s">
        <v>440</v>
      </c>
      <c r="D266" s="39" t="s">
        <v>441</v>
      </c>
      <c r="E266" s="39" t="s">
        <v>429</v>
      </c>
      <c r="F266" s="39" t="s">
        <v>83</v>
      </c>
      <c r="G266" s="40" t="str">
        <f>IF(LEN(ElecLkUp[[#This Row],[Ledger Code]])&gt;3,"AR"&amp;ElecLkUp[[#This Row],[Ledger Code]],"TBC")</f>
        <v>AR6345</v>
      </c>
      <c r="H266" s="115">
        <v>0</v>
      </c>
      <c r="I266" s="115">
        <v>0</v>
      </c>
      <c r="J266" s="115">
        <v>48326</v>
      </c>
      <c r="K266" s="115">
        <v>21302</v>
      </c>
      <c r="L266" s="115">
        <v>18665</v>
      </c>
      <c r="M266" s="115">
        <v>16717</v>
      </c>
      <c r="N266" s="115">
        <v>21807</v>
      </c>
      <c r="O266" s="115">
        <v>38115</v>
      </c>
      <c r="P266" s="42">
        <v>0</v>
      </c>
      <c r="Q266" s="42">
        <v>0</v>
      </c>
      <c r="R266" s="42">
        <v>5797.08</v>
      </c>
      <c r="S266" s="42">
        <v>2534.67</v>
      </c>
      <c r="T266" s="42">
        <v>2316.96</v>
      </c>
      <c r="U266" s="42">
        <v>2129.27</v>
      </c>
      <c r="V266" s="42">
        <v>3940.63</v>
      </c>
      <c r="W266" s="42">
        <v>3193.7799999999997</v>
      </c>
      <c r="X266" s="36">
        <v>0</v>
      </c>
      <c r="Y266" s="36">
        <v>0</v>
      </c>
      <c r="Z266" s="36">
        <v>48326</v>
      </c>
      <c r="AA266" s="36">
        <v>21302</v>
      </c>
      <c r="AB266" s="36">
        <v>18665</v>
      </c>
      <c r="AC266" s="36">
        <v>16717</v>
      </c>
      <c r="AD266" s="36">
        <v>223776</v>
      </c>
      <c r="AE266" s="36">
        <v>211842</v>
      </c>
    </row>
    <row r="267" spans="1:31" ht="15" customHeight="1" x14ac:dyDescent="0.25">
      <c r="A267" s="38">
        <v>3037</v>
      </c>
      <c r="B267" s="39">
        <v>6223</v>
      </c>
      <c r="C267" s="39" t="s">
        <v>432</v>
      </c>
      <c r="D267" s="39" t="s">
        <v>433</v>
      </c>
      <c r="E267" s="39" t="s">
        <v>429</v>
      </c>
      <c r="F267" s="39" t="s">
        <v>83</v>
      </c>
      <c r="G267" s="40" t="str">
        <f>IF(LEN(ElecLkUp[[#This Row],[Ledger Code]])&gt;3,"AR"&amp;ElecLkUp[[#This Row],[Ledger Code]],"TBC")</f>
        <v>AR6223</v>
      </c>
      <c r="H267" s="115"/>
      <c r="I267" s="115"/>
      <c r="J267" s="115"/>
      <c r="K267" s="115"/>
      <c r="L267" s="115"/>
      <c r="M267" s="115"/>
      <c r="N267" s="115"/>
      <c r="O267" s="115"/>
      <c r="P267" s="42">
        <v>0</v>
      </c>
      <c r="Q267" s="42">
        <v>0</v>
      </c>
      <c r="R267" s="42">
        <v>0</v>
      </c>
      <c r="S267" s="42">
        <v>0</v>
      </c>
      <c r="T267" s="42">
        <v>0</v>
      </c>
      <c r="U267" s="42">
        <v>0</v>
      </c>
      <c r="V267" s="42">
        <v>0</v>
      </c>
      <c r="W267" s="42">
        <v>0</v>
      </c>
      <c r="X267" s="36" t="s">
        <v>352</v>
      </c>
      <c r="Y267" s="36" t="s">
        <v>352</v>
      </c>
      <c r="Z267" s="36" t="s">
        <v>352</v>
      </c>
      <c r="AA267" s="36" t="s">
        <v>352</v>
      </c>
      <c r="AB267" s="36" t="s">
        <v>352</v>
      </c>
      <c r="AC267" s="36" t="s">
        <v>352</v>
      </c>
      <c r="AD267" s="36" t="s">
        <v>352</v>
      </c>
      <c r="AE267" s="36" t="s">
        <v>352</v>
      </c>
    </row>
    <row r="268" spans="1:31" ht="15" customHeight="1" x14ac:dyDescent="0.25">
      <c r="A268" s="38">
        <v>3432</v>
      </c>
      <c r="B268" s="39">
        <v>6527</v>
      </c>
      <c r="C268" s="39" t="s">
        <v>468</v>
      </c>
      <c r="D268" s="39" t="s">
        <v>203</v>
      </c>
      <c r="E268" s="39" t="s">
        <v>429</v>
      </c>
      <c r="F268" s="39" t="s">
        <v>83</v>
      </c>
      <c r="G268" s="40" t="str">
        <f>IF(LEN(ElecLkUp[[#This Row],[Ledger Code]])&gt;3,"AR"&amp;ElecLkUp[[#This Row],[Ledger Code]],"TBC")</f>
        <v>AR6527</v>
      </c>
      <c r="H268" s="115">
        <v>0</v>
      </c>
      <c r="I268" s="115">
        <v>0</v>
      </c>
      <c r="J268" s="115">
        <v>0</v>
      </c>
      <c r="K268" s="115">
        <v>0</v>
      </c>
      <c r="L268" s="115">
        <v>12751</v>
      </c>
      <c r="M268" s="115">
        <v>13887</v>
      </c>
      <c r="N268" s="115">
        <v>4635</v>
      </c>
      <c r="O268" s="115">
        <v>14642</v>
      </c>
      <c r="P268" s="42">
        <v>1627.08</v>
      </c>
      <c r="Q268" s="42">
        <v>3478.22</v>
      </c>
      <c r="R268" s="42">
        <v>9882.2199999999993</v>
      </c>
      <c r="S268" s="42">
        <v>13905.92</v>
      </c>
      <c r="T268" s="42">
        <v>6758.8400000000011</v>
      </c>
      <c r="U268" s="42">
        <v>9403.6600000000017</v>
      </c>
      <c r="V268" s="42">
        <v>6598.5099999999993</v>
      </c>
      <c r="W268" s="42">
        <v>4984.409999999998</v>
      </c>
      <c r="X268" s="36">
        <v>0</v>
      </c>
      <c r="Y268" s="36">
        <v>0</v>
      </c>
      <c r="Z268" s="36">
        <v>0</v>
      </c>
      <c r="AA268" s="36">
        <v>0</v>
      </c>
      <c r="AB268" s="36">
        <v>12751</v>
      </c>
      <c r="AC268" s="36">
        <v>13887</v>
      </c>
      <c r="AD268" s="36">
        <v>206604</v>
      </c>
      <c r="AE268" s="36">
        <v>188369</v>
      </c>
    </row>
    <row r="269" spans="1:31" ht="15" customHeight="1" x14ac:dyDescent="0.25">
      <c r="A269" s="38">
        <v>3433</v>
      </c>
      <c r="B269" s="39">
        <v>6527</v>
      </c>
      <c r="C269" s="39" t="s">
        <v>469</v>
      </c>
      <c r="D269" s="39" t="s">
        <v>203</v>
      </c>
      <c r="E269" s="39" t="s">
        <v>429</v>
      </c>
      <c r="F269" s="39" t="s">
        <v>83</v>
      </c>
      <c r="G269" s="40" t="str">
        <f>IF(LEN(ElecLkUp[[#This Row],[Ledger Code]])&gt;3,"AR"&amp;ElecLkUp[[#This Row],[Ledger Code]],"TBC")</f>
        <v>AR6527</v>
      </c>
      <c r="H269" s="115">
        <v>0</v>
      </c>
      <c r="I269" s="115">
        <v>0</v>
      </c>
      <c r="J269" s="115">
        <v>0</v>
      </c>
      <c r="K269" s="115">
        <v>0</v>
      </c>
      <c r="L269" s="115">
        <v>12751</v>
      </c>
      <c r="M269" s="115">
        <v>13887</v>
      </c>
      <c r="N269" s="115">
        <v>4635</v>
      </c>
      <c r="O269" s="115">
        <v>14642</v>
      </c>
      <c r="P269" s="42">
        <v>1627.08</v>
      </c>
      <c r="Q269" s="42">
        <v>3478.22</v>
      </c>
      <c r="R269" s="42">
        <v>9882.2199999999993</v>
      </c>
      <c r="S269" s="42">
        <v>13905.92</v>
      </c>
      <c r="T269" s="42">
        <v>6758.8400000000011</v>
      </c>
      <c r="U269" s="42">
        <v>9403.6600000000017</v>
      </c>
      <c r="V269" s="42">
        <v>6598.5099999999993</v>
      </c>
      <c r="W269" s="42">
        <v>4984.409999999998</v>
      </c>
      <c r="X269" s="36">
        <v>0</v>
      </c>
      <c r="Y269" s="36">
        <v>0</v>
      </c>
      <c r="Z269" s="36">
        <v>0</v>
      </c>
      <c r="AA269" s="36">
        <v>0</v>
      </c>
      <c r="AB269" s="36">
        <v>12751</v>
      </c>
      <c r="AC269" s="36">
        <v>13887</v>
      </c>
      <c r="AD269" s="36">
        <v>206604</v>
      </c>
      <c r="AE269" s="36">
        <v>188369</v>
      </c>
    </row>
    <row r="270" spans="1:31" ht="15" customHeight="1" x14ac:dyDescent="0.25">
      <c r="A270" s="38">
        <v>3473</v>
      </c>
      <c r="B270" s="39">
        <v>6481</v>
      </c>
      <c r="C270" s="39" t="s">
        <v>434</v>
      </c>
      <c r="D270" s="39" t="s">
        <v>435</v>
      </c>
      <c r="E270" s="39" t="s">
        <v>429</v>
      </c>
      <c r="F270" s="39" t="s">
        <v>83</v>
      </c>
      <c r="G270" s="40" t="str">
        <f>IF(LEN(ElecLkUp[[#This Row],[Ledger Code]])&gt;3,"AR"&amp;ElecLkUp[[#This Row],[Ledger Code]],"TBC")</f>
        <v>AR6481</v>
      </c>
      <c r="H270" s="115">
        <v>157086.29999999999</v>
      </c>
      <c r="I270" s="115">
        <v>149366.1</v>
      </c>
      <c r="J270" s="115">
        <v>172379.9</v>
      </c>
      <c r="K270" s="115">
        <v>176556</v>
      </c>
      <c r="L270" s="115">
        <v>156620.9</v>
      </c>
      <c r="M270" s="115">
        <v>146092.79999999999</v>
      </c>
      <c r="N270" s="115">
        <v>52715.7</v>
      </c>
      <c r="O270" s="115">
        <v>0</v>
      </c>
      <c r="P270" s="42">
        <v>0</v>
      </c>
      <c r="Q270" s="42">
        <v>30284.85</v>
      </c>
      <c r="R270" s="42">
        <v>20033.999999999996</v>
      </c>
      <c r="S270" s="42">
        <v>20991.010000000002</v>
      </c>
      <c r="T270" s="42">
        <v>18963.539999999997</v>
      </c>
      <c r="U270" s="42">
        <v>17049.149999999998</v>
      </c>
      <c r="V270" s="42">
        <v>19245.010000000002</v>
      </c>
      <c r="W270" s="42">
        <v>6863.7799999999979</v>
      </c>
      <c r="X270" s="36">
        <v>157086.29999999999</v>
      </c>
      <c r="Y270" s="36">
        <v>149366.1</v>
      </c>
      <c r="Z270" s="36">
        <v>172379.9</v>
      </c>
      <c r="AA270" s="36">
        <v>176556</v>
      </c>
      <c r="AB270" s="36">
        <v>156620.9</v>
      </c>
      <c r="AC270" s="36">
        <v>146092.79999999999</v>
      </c>
      <c r="AD270" s="36">
        <v>52715.7</v>
      </c>
      <c r="AE270" s="36">
        <v>0</v>
      </c>
    </row>
    <row r="271" spans="1:31" ht="15" customHeight="1" x14ac:dyDescent="0.25">
      <c r="A271" s="38">
        <v>3484</v>
      </c>
      <c r="B271" s="39">
        <v>6508</v>
      </c>
      <c r="C271" s="39" t="s">
        <v>472</v>
      </c>
      <c r="D271" s="39" t="s">
        <v>473</v>
      </c>
      <c r="E271" s="39" t="s">
        <v>429</v>
      </c>
      <c r="F271" s="39" t="s">
        <v>83</v>
      </c>
      <c r="G271" s="40" t="str">
        <f>IF(LEN(ElecLkUp[[#This Row],[Ledger Code]])&gt;3,"AR"&amp;ElecLkUp[[#This Row],[Ledger Code]],"TBC")</f>
        <v>AR6508</v>
      </c>
      <c r="H271" s="115">
        <v>0</v>
      </c>
      <c r="I271" s="115">
        <v>0</v>
      </c>
      <c r="J271" s="115">
        <v>0</v>
      </c>
      <c r="K271" s="115">
        <v>95721</v>
      </c>
      <c r="L271" s="115">
        <v>32310</v>
      </c>
      <c r="M271" s="115">
        <v>32387</v>
      </c>
      <c r="N271" s="115">
        <v>0</v>
      </c>
      <c r="O271" s="115">
        <v>48015</v>
      </c>
      <c r="P271" s="42">
        <v>0</v>
      </c>
      <c r="Q271" s="42">
        <v>0</v>
      </c>
      <c r="R271" s="42">
        <v>38231.9</v>
      </c>
      <c r="S271" s="42">
        <v>27889.000000000004</v>
      </c>
      <c r="T271" s="42">
        <v>14982.91</v>
      </c>
      <c r="U271" s="42">
        <v>16344.519999999997</v>
      </c>
      <c r="V271" s="42">
        <v>17599.86</v>
      </c>
      <c r="W271" s="42">
        <v>8057.4499999999989</v>
      </c>
      <c r="X271" s="36">
        <v>0</v>
      </c>
      <c r="Y271" s="36">
        <v>0</v>
      </c>
      <c r="Z271" s="36">
        <v>0</v>
      </c>
      <c r="AA271" s="36">
        <v>95721</v>
      </c>
      <c r="AB271" s="36">
        <v>32310</v>
      </c>
      <c r="AC271" s="36">
        <v>32387</v>
      </c>
      <c r="AD271" s="36">
        <v>201969</v>
      </c>
      <c r="AE271" s="36">
        <v>221742</v>
      </c>
    </row>
    <row r="272" spans="1:31" ht="15" customHeight="1" x14ac:dyDescent="0.25">
      <c r="A272" s="38">
        <v>3551</v>
      </c>
      <c r="B272" s="39">
        <v>6479</v>
      </c>
      <c r="C272" s="39" t="s">
        <v>462</v>
      </c>
      <c r="D272" s="39" t="s">
        <v>463</v>
      </c>
      <c r="E272" s="39" t="s">
        <v>429</v>
      </c>
      <c r="F272" s="39" t="s">
        <v>83</v>
      </c>
      <c r="G272" s="40" t="str">
        <f>IF(LEN(ElecLkUp[[#This Row],[Ledger Code]])&gt;3,"AR"&amp;ElecLkUp[[#This Row],[Ledger Code]],"TBC")</f>
        <v>AR6479</v>
      </c>
      <c r="H272" s="115"/>
      <c r="I272" s="115"/>
      <c r="J272" s="115"/>
      <c r="K272" s="115"/>
      <c r="L272" s="115"/>
      <c r="M272" s="115"/>
      <c r="N272" s="115"/>
      <c r="O272" s="115"/>
      <c r="P272" s="42">
        <v>0</v>
      </c>
      <c r="Q272" s="42">
        <v>0</v>
      </c>
      <c r="R272" s="42">
        <v>69473.53</v>
      </c>
      <c r="S272" s="42">
        <v>30653.379999999997</v>
      </c>
      <c r="T272" s="42">
        <v>9106.0899999999983</v>
      </c>
      <c r="U272" s="42">
        <v>48805.61</v>
      </c>
      <c r="V272" s="42">
        <v>0</v>
      </c>
      <c r="W272" s="42">
        <v>58822.49</v>
      </c>
      <c r="X272" s="36" t="s">
        <v>352</v>
      </c>
      <c r="Y272" s="36" t="s">
        <v>352</v>
      </c>
      <c r="Z272" s="36" t="s">
        <v>352</v>
      </c>
      <c r="AA272" s="36" t="s">
        <v>352</v>
      </c>
      <c r="AB272" s="36" t="s">
        <v>352</v>
      </c>
      <c r="AC272" s="36" t="s">
        <v>352</v>
      </c>
      <c r="AD272" s="36" t="s">
        <v>352</v>
      </c>
      <c r="AE272" s="36" t="s">
        <v>352</v>
      </c>
    </row>
    <row r="273" spans="1:31" ht="15" customHeight="1" x14ac:dyDescent="0.25">
      <c r="A273" s="38">
        <v>3559</v>
      </c>
      <c r="B273" s="39">
        <v>6459</v>
      </c>
      <c r="C273" s="39" t="s">
        <v>436</v>
      </c>
      <c r="D273" s="39" t="s">
        <v>437</v>
      </c>
      <c r="E273" s="39" t="s">
        <v>429</v>
      </c>
      <c r="F273" s="39" t="s">
        <v>83</v>
      </c>
      <c r="G273" s="40" t="str">
        <f>IF(LEN(ElecLkUp[[#This Row],[Ledger Code]])&gt;3,"AR"&amp;ElecLkUp[[#This Row],[Ledger Code]],"TBC")</f>
        <v>AR6459</v>
      </c>
      <c r="H273" s="115">
        <v>0</v>
      </c>
      <c r="I273" s="115">
        <v>12369</v>
      </c>
      <c r="J273" s="115">
        <v>8837</v>
      </c>
      <c r="K273" s="115">
        <v>7626</v>
      </c>
      <c r="L273" s="115">
        <v>12433</v>
      </c>
      <c r="M273" s="115">
        <v>8405</v>
      </c>
      <c r="N273" s="115">
        <v>7359</v>
      </c>
      <c r="O273" s="115">
        <v>9489</v>
      </c>
      <c r="P273" s="42">
        <v>302.81</v>
      </c>
      <c r="Q273" s="42">
        <v>1213</v>
      </c>
      <c r="R273" s="42">
        <v>1015.51</v>
      </c>
      <c r="S273" s="42">
        <v>931.47</v>
      </c>
      <c r="T273" s="42">
        <v>1500.9099999999999</v>
      </c>
      <c r="U273" s="42">
        <v>1074.1600000000001</v>
      </c>
      <c r="V273" s="42">
        <v>1325.6</v>
      </c>
      <c r="W273" s="42">
        <v>732.34999999999991</v>
      </c>
      <c r="X273" s="36">
        <v>0</v>
      </c>
      <c r="Y273" s="36">
        <v>12369</v>
      </c>
      <c r="Z273" s="36">
        <v>8837</v>
      </c>
      <c r="AA273" s="36">
        <v>7626</v>
      </c>
      <c r="AB273" s="36">
        <v>12433</v>
      </c>
      <c r="AC273" s="36">
        <v>8405</v>
      </c>
      <c r="AD273" s="36">
        <v>209328</v>
      </c>
      <c r="AE273" s="36">
        <v>183216</v>
      </c>
    </row>
    <row r="274" spans="1:31" ht="15" customHeight="1" x14ac:dyDescent="0.25">
      <c r="A274" s="38">
        <v>4560</v>
      </c>
      <c r="B274" s="39">
        <v>6645</v>
      </c>
      <c r="C274" s="39" t="s">
        <v>476</v>
      </c>
      <c r="D274" s="39" t="s">
        <v>477</v>
      </c>
      <c r="E274" s="39" t="s">
        <v>429</v>
      </c>
      <c r="F274" s="39" t="s">
        <v>10</v>
      </c>
      <c r="G274" s="40" t="str">
        <f>IF(LEN(ElecLkUp[[#This Row],[Ledger Code]])&gt;3,"AR"&amp;ElecLkUp[[#This Row],[Ledger Code]],"TBC")</f>
        <v>AR6645</v>
      </c>
      <c r="H274" s="115"/>
      <c r="I274" s="115"/>
      <c r="J274" s="115"/>
      <c r="K274" s="115"/>
      <c r="L274" s="115"/>
      <c r="M274" s="115"/>
      <c r="N274" s="115"/>
      <c r="O274" s="115"/>
      <c r="P274" s="42">
        <v>0</v>
      </c>
      <c r="Q274" s="42">
        <v>-1757.1800000000003</v>
      </c>
      <c r="R274" s="42">
        <v>6171.5700000000006</v>
      </c>
      <c r="S274" s="42">
        <v>11693.449999999999</v>
      </c>
      <c r="T274" s="42">
        <v>13987.869999999997</v>
      </c>
      <c r="U274" s="42">
        <v>6641.760000000002</v>
      </c>
      <c r="V274" s="42">
        <v>4206.0199999999986</v>
      </c>
      <c r="W274" s="42">
        <v>3158.5399999999991</v>
      </c>
      <c r="X274" s="36" t="s">
        <v>352</v>
      </c>
      <c r="Y274" s="36" t="s">
        <v>352</v>
      </c>
      <c r="Z274" s="36" t="s">
        <v>352</v>
      </c>
      <c r="AA274" s="36" t="s">
        <v>352</v>
      </c>
      <c r="AB274" s="36" t="s">
        <v>352</v>
      </c>
      <c r="AC274" s="36" t="s">
        <v>352</v>
      </c>
      <c r="AD274" s="36" t="s">
        <v>352</v>
      </c>
      <c r="AE274" s="36" t="s">
        <v>352</v>
      </c>
    </row>
    <row r="275" spans="1:31" ht="15" customHeight="1" x14ac:dyDescent="0.25">
      <c r="A275" s="38">
        <v>4584</v>
      </c>
      <c r="B275" s="39">
        <v>6598</v>
      </c>
      <c r="C275" s="39" t="s">
        <v>470</v>
      </c>
      <c r="D275" s="39" t="s">
        <v>471</v>
      </c>
      <c r="E275" s="39" t="s">
        <v>429</v>
      </c>
      <c r="F275" s="39" t="s">
        <v>10</v>
      </c>
      <c r="G275" s="40" t="str">
        <f>IF(LEN(ElecLkUp[[#This Row],[Ledger Code]])&gt;3,"AR"&amp;ElecLkUp[[#This Row],[Ledger Code]],"TBC")</f>
        <v>AR6598</v>
      </c>
      <c r="H275" s="115">
        <v>0</v>
      </c>
      <c r="I275" s="115">
        <v>31062</v>
      </c>
      <c r="J275" s="115">
        <v>14184</v>
      </c>
      <c r="K275" s="115">
        <v>26104</v>
      </c>
      <c r="L275" s="115">
        <v>19542</v>
      </c>
      <c r="M275" s="115">
        <v>20223</v>
      </c>
      <c r="N275" s="115">
        <v>13841</v>
      </c>
      <c r="O275" s="115">
        <v>21798</v>
      </c>
      <c r="P275" s="42">
        <v>822.56</v>
      </c>
      <c r="Q275" s="42">
        <v>2590.52</v>
      </c>
      <c r="R275" s="42">
        <v>2088.16</v>
      </c>
      <c r="S275" s="42">
        <v>3172.13</v>
      </c>
      <c r="T275" s="42">
        <v>2453.6299999999997</v>
      </c>
      <c r="U275" s="42">
        <v>2628.92</v>
      </c>
      <c r="V275" s="42">
        <v>2827.93</v>
      </c>
      <c r="W275" s="42">
        <v>1823.2799999999986</v>
      </c>
      <c r="X275" s="36">
        <v>0</v>
      </c>
      <c r="Y275" s="36">
        <v>31062</v>
      </c>
      <c r="Z275" s="36">
        <v>14184</v>
      </c>
      <c r="AA275" s="36">
        <v>26104</v>
      </c>
      <c r="AB275" s="36">
        <v>19542</v>
      </c>
      <c r="AC275" s="36">
        <v>20223</v>
      </c>
      <c r="AD275" s="36">
        <v>215810</v>
      </c>
      <c r="AE275" s="36">
        <v>195525</v>
      </c>
    </row>
    <row r="276" spans="1:31" ht="15" customHeight="1" x14ac:dyDescent="0.25">
      <c r="A276" s="38">
        <v>4540</v>
      </c>
      <c r="B276" s="39">
        <v>6557</v>
      </c>
      <c r="C276" s="39" t="s">
        <v>480</v>
      </c>
      <c r="D276" s="39" t="s">
        <v>481</v>
      </c>
      <c r="E276" s="39" t="s">
        <v>429</v>
      </c>
      <c r="F276" s="39" t="s">
        <v>10</v>
      </c>
      <c r="G276" s="40" t="str">
        <f>IF(LEN(ElecLkUp[[#This Row],[Ledger Code]])&gt;3,"AR"&amp;ElecLkUp[[#This Row],[Ledger Code]],"TBC")</f>
        <v>AR6557</v>
      </c>
      <c r="H276" s="115"/>
      <c r="I276" s="115"/>
      <c r="J276" s="115"/>
      <c r="K276" s="115"/>
      <c r="L276" s="115"/>
      <c r="M276" s="115"/>
      <c r="N276" s="115"/>
      <c r="O276" s="115"/>
      <c r="P276" s="42">
        <v>0</v>
      </c>
      <c r="Q276" s="42">
        <v>0</v>
      </c>
      <c r="R276" s="42">
        <v>8092.1099999999979</v>
      </c>
      <c r="S276" s="42">
        <v>7911.0499999999993</v>
      </c>
      <c r="T276" s="42">
        <v>0</v>
      </c>
      <c r="U276" s="42">
        <v>0</v>
      </c>
      <c r="V276" s="42">
        <v>11966.93</v>
      </c>
      <c r="W276" s="42">
        <v>2.8421709430404007E-13</v>
      </c>
      <c r="X276" s="36" t="s">
        <v>352</v>
      </c>
      <c r="Y276" s="36" t="s">
        <v>352</v>
      </c>
      <c r="Z276" s="36" t="s">
        <v>352</v>
      </c>
      <c r="AA276" s="36" t="s">
        <v>352</v>
      </c>
      <c r="AB276" s="36" t="s">
        <v>352</v>
      </c>
      <c r="AC276" s="36" t="s">
        <v>352</v>
      </c>
      <c r="AD276" s="36" t="s">
        <v>352</v>
      </c>
      <c r="AE276" s="36" t="s">
        <v>352</v>
      </c>
    </row>
    <row r="277" spans="1:31" ht="15" customHeight="1" x14ac:dyDescent="0.25">
      <c r="A277" s="38">
        <v>4550</v>
      </c>
      <c r="B277" s="39">
        <v>6635</v>
      </c>
      <c r="C277" s="39" t="s">
        <v>482</v>
      </c>
      <c r="D277" s="39" t="s">
        <v>483</v>
      </c>
      <c r="E277" s="39" t="s">
        <v>429</v>
      </c>
      <c r="F277" s="39" t="s">
        <v>10</v>
      </c>
      <c r="G277" s="40" t="str">
        <f>IF(LEN(ElecLkUp[[#This Row],[Ledger Code]])&gt;3,"AR"&amp;ElecLkUp[[#This Row],[Ledger Code]],"TBC")</f>
        <v>AR6635</v>
      </c>
      <c r="H277" s="115"/>
      <c r="I277" s="115"/>
      <c r="J277" s="115"/>
      <c r="K277" s="115"/>
      <c r="L277" s="115"/>
      <c r="M277" s="115"/>
      <c r="N277" s="115"/>
      <c r="O277" s="115"/>
      <c r="P277" s="42">
        <v>0</v>
      </c>
      <c r="Q277" s="42">
        <v>6911.3000000000011</v>
      </c>
      <c r="R277" s="42">
        <v>3636.920000000001</v>
      </c>
      <c r="S277" s="42">
        <v>5293.2699999999986</v>
      </c>
      <c r="T277" s="42">
        <v>3435.869999999999</v>
      </c>
      <c r="U277" s="42">
        <v>7096.1800000000021</v>
      </c>
      <c r="V277" s="42">
        <v>5129.2699999999995</v>
      </c>
      <c r="W277" s="42">
        <v>3040.41</v>
      </c>
      <c r="X277" s="36" t="s">
        <v>352</v>
      </c>
      <c r="Y277" s="36" t="s">
        <v>352</v>
      </c>
      <c r="Z277" s="36" t="s">
        <v>352</v>
      </c>
      <c r="AA277" s="36" t="s">
        <v>352</v>
      </c>
      <c r="AB277" s="36" t="s">
        <v>352</v>
      </c>
      <c r="AC277" s="36" t="s">
        <v>352</v>
      </c>
      <c r="AD277" s="36" t="s">
        <v>352</v>
      </c>
      <c r="AE277" s="36" t="s">
        <v>352</v>
      </c>
    </row>
    <row r="278" spans="1:31" ht="15" customHeight="1" x14ac:dyDescent="0.25">
      <c r="A278" s="38">
        <v>694</v>
      </c>
      <c r="B278" s="39">
        <v>5469</v>
      </c>
      <c r="C278" s="39" t="s">
        <v>485</v>
      </c>
      <c r="D278" s="39" t="s">
        <v>486</v>
      </c>
      <c r="E278" s="39" t="s">
        <v>429</v>
      </c>
      <c r="F278" s="39" t="s">
        <v>10</v>
      </c>
      <c r="G278" s="40" t="str">
        <f>IF(LEN(ElecLkUp[[#This Row],[Ledger Code]])&gt;3,"AR"&amp;ElecLkUp[[#This Row],[Ledger Code]],"TBC")</f>
        <v>AR5469</v>
      </c>
      <c r="H278" s="115"/>
      <c r="I278" s="115"/>
      <c r="J278" s="115"/>
      <c r="K278" s="115"/>
      <c r="L278" s="115"/>
      <c r="M278" s="115"/>
      <c r="N278" s="115"/>
      <c r="O278" s="115"/>
      <c r="P278" s="42">
        <v>0</v>
      </c>
      <c r="Q278" s="42">
        <v>0</v>
      </c>
      <c r="R278" s="42">
        <v>0</v>
      </c>
      <c r="S278" s="42">
        <v>0</v>
      </c>
      <c r="T278" s="42">
        <v>0</v>
      </c>
      <c r="U278" s="42">
        <v>0</v>
      </c>
      <c r="V278" s="42">
        <v>0</v>
      </c>
      <c r="W278" s="42">
        <v>28136.409999999996</v>
      </c>
      <c r="X278" s="36" t="s">
        <v>352</v>
      </c>
      <c r="Y278" s="36" t="s">
        <v>352</v>
      </c>
      <c r="Z278" s="36" t="s">
        <v>352</v>
      </c>
      <c r="AA278" s="36" t="s">
        <v>352</v>
      </c>
      <c r="AB278" s="36" t="s">
        <v>352</v>
      </c>
      <c r="AC278" s="36" t="s">
        <v>352</v>
      </c>
      <c r="AD278" s="36" t="s">
        <v>352</v>
      </c>
      <c r="AE278" s="36" t="s">
        <v>352</v>
      </c>
    </row>
    <row r="279" spans="1:31" ht="15" customHeight="1" x14ac:dyDescent="0.25">
      <c r="A279" s="38">
        <v>753</v>
      </c>
      <c r="B279" s="39">
        <v>5522</v>
      </c>
      <c r="C279" s="39" t="s">
        <v>474</v>
      </c>
      <c r="D279" s="39" t="s">
        <v>475</v>
      </c>
      <c r="E279" s="39" t="s">
        <v>429</v>
      </c>
      <c r="F279" s="39" t="s">
        <v>10</v>
      </c>
      <c r="G279" s="40" t="str">
        <f>IF(LEN(ElecLkUp[[#This Row],[Ledger Code]])&gt;3,"AR"&amp;ElecLkUp[[#This Row],[Ledger Code]],"TBC")</f>
        <v>AR5522</v>
      </c>
      <c r="H279" s="115"/>
      <c r="I279" s="115"/>
      <c r="J279" s="115"/>
      <c r="K279" s="115"/>
      <c r="L279" s="115"/>
      <c r="M279" s="115"/>
      <c r="N279" s="115"/>
      <c r="O279" s="115"/>
      <c r="P279" s="42">
        <v>0</v>
      </c>
      <c r="Q279" s="42">
        <v>24572.37</v>
      </c>
      <c r="R279" s="42">
        <v>15060.44</v>
      </c>
      <c r="S279" s="42">
        <v>15942.439999999999</v>
      </c>
      <c r="T279" s="42">
        <v>-719.47000000000116</v>
      </c>
      <c r="U279" s="42">
        <v>31158.800000000003</v>
      </c>
      <c r="V279" s="42">
        <v>32072.509999999995</v>
      </c>
      <c r="W279" s="42">
        <v>-10812.730000000001</v>
      </c>
      <c r="X279" s="36" t="s">
        <v>352</v>
      </c>
      <c r="Y279" s="36" t="s">
        <v>352</v>
      </c>
      <c r="Z279" s="36" t="s">
        <v>352</v>
      </c>
      <c r="AA279" s="36" t="s">
        <v>352</v>
      </c>
      <c r="AB279" s="36" t="s">
        <v>352</v>
      </c>
      <c r="AC279" s="36" t="s">
        <v>352</v>
      </c>
      <c r="AD279" s="36" t="s">
        <v>352</v>
      </c>
      <c r="AE279" s="36" t="s">
        <v>352</v>
      </c>
    </row>
    <row r="280" spans="1:31" ht="15" customHeight="1" x14ac:dyDescent="0.25">
      <c r="A280" s="38">
        <v>118</v>
      </c>
      <c r="B280" s="39">
        <v>5060</v>
      </c>
      <c r="C280" s="39" t="s">
        <v>487</v>
      </c>
      <c r="D280" s="39" t="s">
        <v>488</v>
      </c>
      <c r="E280" s="39" t="s">
        <v>429</v>
      </c>
      <c r="F280" s="39" t="s">
        <v>10</v>
      </c>
      <c r="G280" s="40" t="str">
        <f>IF(LEN(ElecLkUp[[#This Row],[Ledger Code]])&gt;3,"AR"&amp;ElecLkUp[[#This Row],[Ledger Code]],"TBC")</f>
        <v>AR5060</v>
      </c>
      <c r="H280" s="115"/>
      <c r="I280" s="115"/>
      <c r="J280" s="115"/>
      <c r="K280" s="115"/>
      <c r="L280" s="115"/>
      <c r="M280" s="115"/>
      <c r="N280" s="115"/>
      <c r="O280" s="115"/>
      <c r="P280" s="42">
        <v>0</v>
      </c>
      <c r="Q280" s="42">
        <v>1497.9400000000005</v>
      </c>
      <c r="R280" s="42">
        <v>1394.9300000000003</v>
      </c>
      <c r="S280" s="42">
        <v>5542.66</v>
      </c>
      <c r="T280" s="42">
        <v>0</v>
      </c>
      <c r="U280" s="42">
        <v>7525.1599999999989</v>
      </c>
      <c r="V280" s="42">
        <v>1380.6499999999996</v>
      </c>
      <c r="W280" s="42">
        <v>-106.25</v>
      </c>
      <c r="X280" s="36" t="s">
        <v>352</v>
      </c>
      <c r="Y280" s="36" t="s">
        <v>352</v>
      </c>
      <c r="Z280" s="36" t="s">
        <v>352</v>
      </c>
      <c r="AA280" s="36" t="s">
        <v>352</v>
      </c>
      <c r="AB280" s="36" t="s">
        <v>352</v>
      </c>
      <c r="AC280" s="36" t="s">
        <v>352</v>
      </c>
      <c r="AD280" s="36" t="s">
        <v>352</v>
      </c>
      <c r="AE280" s="36" t="s">
        <v>352</v>
      </c>
    </row>
    <row r="281" spans="1:31" ht="15" customHeight="1" x14ac:dyDescent="0.25">
      <c r="A281" s="38">
        <v>133</v>
      </c>
      <c r="B281" s="39">
        <v>5090</v>
      </c>
      <c r="C281" s="39" t="s">
        <v>489</v>
      </c>
      <c r="D281" s="39" t="s">
        <v>490</v>
      </c>
      <c r="E281" s="39" t="s">
        <v>429</v>
      </c>
      <c r="F281" s="39" t="s">
        <v>10</v>
      </c>
      <c r="G281" s="40" t="str">
        <f>IF(LEN(ElecLkUp[[#This Row],[Ledger Code]])&gt;3,"AR"&amp;ElecLkUp[[#This Row],[Ledger Code]],"TBC")</f>
        <v>AR5090</v>
      </c>
      <c r="H281" s="115">
        <v>7560</v>
      </c>
      <c r="I281" s="115">
        <v>12051</v>
      </c>
      <c r="J281" s="115">
        <v>12195</v>
      </c>
      <c r="K281" s="115">
        <v>12960</v>
      </c>
      <c r="L281" s="115">
        <v>11772</v>
      </c>
      <c r="M281" s="115">
        <v>12195</v>
      </c>
      <c r="N281" s="115">
        <v>0</v>
      </c>
      <c r="O281" s="115">
        <v>29949</v>
      </c>
      <c r="P281" s="42">
        <v>726.84999999999934</v>
      </c>
      <c r="Q281" s="42">
        <v>4864.369999999999</v>
      </c>
      <c r="R281" s="42">
        <v>2577.19</v>
      </c>
      <c r="S281" s="42">
        <v>18234.5</v>
      </c>
      <c r="T281" s="42">
        <v>6711.8300000000036</v>
      </c>
      <c r="U281" s="42">
        <v>919.35</v>
      </c>
      <c r="V281" s="42">
        <v>11284.490000000002</v>
      </c>
      <c r="W281" s="42">
        <v>3418.9599999999996</v>
      </c>
      <c r="X281" s="36">
        <v>7560</v>
      </c>
      <c r="Y281" s="36">
        <v>12051</v>
      </c>
      <c r="Z281" s="36">
        <v>12195</v>
      </c>
      <c r="AA281" s="36">
        <v>12960</v>
      </c>
      <c r="AB281" s="36">
        <v>11772</v>
      </c>
      <c r="AC281" s="36">
        <v>12195</v>
      </c>
      <c r="AD281" s="36">
        <v>201969</v>
      </c>
      <c r="AE281" s="36">
        <v>203676</v>
      </c>
    </row>
    <row r="282" spans="1:31" ht="15" customHeight="1" x14ac:dyDescent="0.25">
      <c r="A282" s="38" t="s">
        <v>628</v>
      </c>
      <c r="B282" s="39" t="s">
        <v>387</v>
      </c>
      <c r="C282" s="39" t="s">
        <v>491</v>
      </c>
      <c r="D282" s="39" t="s">
        <v>492</v>
      </c>
      <c r="E282" s="39" t="s">
        <v>429</v>
      </c>
      <c r="F282" s="39" t="s">
        <v>10</v>
      </c>
      <c r="G282" s="40" t="str">
        <f>IF(LEN(ElecLkUp[[#This Row],[Ledger Code]])&gt;3,"AR"&amp;ElecLkUp[[#This Row],[Ledger Code]],"TBC")</f>
        <v>TBC</v>
      </c>
      <c r="H282" s="115"/>
      <c r="I282" s="115"/>
      <c r="J282" s="115"/>
      <c r="K282" s="115"/>
      <c r="L282" s="115"/>
      <c r="M282" s="115"/>
      <c r="N282" s="115"/>
      <c r="O282" s="115"/>
      <c r="P282" s="42">
        <v>0</v>
      </c>
      <c r="Q282" s="42">
        <v>0</v>
      </c>
      <c r="R282" s="42">
        <v>0</v>
      </c>
      <c r="S282" s="42">
        <v>0</v>
      </c>
      <c r="T282" s="42">
        <v>0</v>
      </c>
      <c r="U282" s="42">
        <v>0</v>
      </c>
      <c r="V282" s="42">
        <v>0</v>
      </c>
      <c r="W282" s="42">
        <v>0</v>
      </c>
      <c r="X282" s="36" t="s">
        <v>352</v>
      </c>
      <c r="Y282" s="36" t="s">
        <v>352</v>
      </c>
      <c r="Z282" s="36" t="s">
        <v>352</v>
      </c>
      <c r="AA282" s="36" t="s">
        <v>352</v>
      </c>
      <c r="AB282" s="36" t="s">
        <v>352</v>
      </c>
      <c r="AC282" s="36" t="s">
        <v>352</v>
      </c>
      <c r="AD282" s="36" t="s">
        <v>352</v>
      </c>
      <c r="AE282" s="36" t="s">
        <v>352</v>
      </c>
    </row>
    <row r="283" spans="1:31" ht="15" customHeight="1" x14ac:dyDescent="0.25">
      <c r="A283" s="38">
        <v>227</v>
      </c>
      <c r="B283" s="39">
        <v>5028</v>
      </c>
      <c r="C283" s="39" t="s">
        <v>493</v>
      </c>
      <c r="D283" s="39" t="s">
        <v>494</v>
      </c>
      <c r="E283" s="39" t="s">
        <v>429</v>
      </c>
      <c r="F283" s="39" t="s">
        <v>10</v>
      </c>
      <c r="G283" s="40" t="str">
        <f>IF(LEN(ElecLkUp[[#This Row],[Ledger Code]])&gt;3,"AR"&amp;ElecLkUp[[#This Row],[Ledger Code]],"TBC")</f>
        <v>AR5028</v>
      </c>
      <c r="H283" s="115"/>
      <c r="I283" s="115"/>
      <c r="J283" s="115"/>
      <c r="K283" s="115"/>
      <c r="L283" s="115"/>
      <c r="M283" s="115"/>
      <c r="N283" s="115"/>
      <c r="O283" s="115"/>
      <c r="P283" s="42">
        <v>0</v>
      </c>
      <c r="Q283" s="42">
        <v>0</v>
      </c>
      <c r="R283" s="42">
        <v>0</v>
      </c>
      <c r="S283" s="42">
        <v>0</v>
      </c>
      <c r="T283" s="42">
        <v>0</v>
      </c>
      <c r="U283" s="42">
        <v>0</v>
      </c>
      <c r="V283" s="42">
        <v>0</v>
      </c>
      <c r="W283" s="42">
        <v>0</v>
      </c>
      <c r="X283" s="36" t="s">
        <v>352</v>
      </c>
      <c r="Y283" s="36" t="s">
        <v>352</v>
      </c>
      <c r="Z283" s="36" t="s">
        <v>352</v>
      </c>
      <c r="AA283" s="36" t="s">
        <v>352</v>
      </c>
      <c r="AB283" s="36" t="s">
        <v>352</v>
      </c>
      <c r="AC283" s="36" t="s">
        <v>352</v>
      </c>
      <c r="AD283" s="36" t="s">
        <v>352</v>
      </c>
      <c r="AE283" s="36" t="s">
        <v>352</v>
      </c>
    </row>
    <row r="284" spans="1:31" ht="15" customHeight="1" x14ac:dyDescent="0.25">
      <c r="A284" s="38">
        <v>3961</v>
      </c>
      <c r="B284" s="39">
        <v>7074</v>
      </c>
      <c r="C284" s="39" t="s">
        <v>406</v>
      </c>
      <c r="D284" s="39" t="s">
        <v>219</v>
      </c>
      <c r="E284" s="39" t="s">
        <v>220</v>
      </c>
      <c r="F284" s="39" t="s">
        <v>221</v>
      </c>
      <c r="G284" s="40" t="str">
        <f>IF(LEN(ElecLkUp[[#This Row],[Ledger Code]])&gt;3,"AR"&amp;ElecLkUp[[#This Row],[Ledger Code]],"TBC")</f>
        <v>AR7074</v>
      </c>
      <c r="H284" s="115"/>
      <c r="I284" s="115"/>
      <c r="J284" s="115"/>
      <c r="K284" s="115"/>
      <c r="L284" s="115"/>
      <c r="M284" s="115"/>
      <c r="N284" s="115"/>
      <c r="O284" s="115"/>
      <c r="P284" s="42">
        <v>0</v>
      </c>
      <c r="Q284" s="42">
        <v>0</v>
      </c>
      <c r="R284" s="42">
        <v>0</v>
      </c>
      <c r="S284" s="42">
        <v>0</v>
      </c>
      <c r="T284" s="42">
        <v>0</v>
      </c>
      <c r="U284" s="42">
        <v>0</v>
      </c>
      <c r="V284" s="42">
        <v>0</v>
      </c>
      <c r="W284" s="42">
        <v>0</v>
      </c>
      <c r="X284" s="36" t="s">
        <v>352</v>
      </c>
      <c r="Y284" s="36" t="s">
        <v>352</v>
      </c>
      <c r="Z284" s="36" t="s">
        <v>352</v>
      </c>
      <c r="AA284" s="36" t="s">
        <v>352</v>
      </c>
      <c r="AB284" s="36" t="s">
        <v>352</v>
      </c>
      <c r="AC284" s="36" t="s">
        <v>352</v>
      </c>
      <c r="AD284" s="36" t="s">
        <v>352</v>
      </c>
      <c r="AE284" s="36" t="s">
        <v>352</v>
      </c>
    </row>
    <row r="285" spans="1:31" ht="15" customHeight="1" x14ac:dyDescent="0.25">
      <c r="A285" s="38">
        <v>4029</v>
      </c>
      <c r="B285" s="39">
        <v>7229</v>
      </c>
      <c r="C285" s="39" t="s">
        <v>407</v>
      </c>
      <c r="D285" s="39" t="s">
        <v>408</v>
      </c>
      <c r="E285" s="39" t="s">
        <v>220</v>
      </c>
      <c r="F285" s="39" t="s">
        <v>221</v>
      </c>
      <c r="G285" s="40" t="str">
        <f>IF(LEN(ElecLkUp[[#This Row],[Ledger Code]])&gt;3,"AR"&amp;ElecLkUp[[#This Row],[Ledger Code]],"TBC")</f>
        <v>AR7229</v>
      </c>
      <c r="H285" s="115"/>
      <c r="I285" s="115"/>
      <c r="J285" s="115"/>
      <c r="K285" s="115"/>
      <c r="L285" s="115"/>
      <c r="M285" s="115"/>
      <c r="N285" s="115"/>
      <c r="O285" s="115"/>
      <c r="P285" s="42">
        <v>9118.1200000000008</v>
      </c>
      <c r="Q285" s="42">
        <v>13161.949999999997</v>
      </c>
      <c r="R285" s="42">
        <v>13373.799999999997</v>
      </c>
      <c r="S285" s="42">
        <v>17911.11</v>
      </c>
      <c r="T285" s="42">
        <v>8048.9499999999989</v>
      </c>
      <c r="U285" s="42">
        <v>16956.430000000004</v>
      </c>
      <c r="V285" s="42">
        <v>4669.3000000000011</v>
      </c>
      <c r="W285" s="42">
        <v>9755.52</v>
      </c>
      <c r="X285" s="36" t="s">
        <v>352</v>
      </c>
      <c r="Y285" s="36" t="s">
        <v>352</v>
      </c>
      <c r="Z285" s="36" t="s">
        <v>352</v>
      </c>
      <c r="AA285" s="36" t="s">
        <v>352</v>
      </c>
      <c r="AB285" s="36" t="s">
        <v>352</v>
      </c>
      <c r="AC285" s="36" t="s">
        <v>352</v>
      </c>
      <c r="AD285" s="36" t="s">
        <v>352</v>
      </c>
      <c r="AE285" s="36" t="s">
        <v>352</v>
      </c>
    </row>
    <row r="286" spans="1:31" ht="15" customHeight="1" x14ac:dyDescent="0.25">
      <c r="A286" s="38">
        <v>4003</v>
      </c>
      <c r="B286" s="39">
        <v>7148</v>
      </c>
      <c r="C286" s="39" t="s">
        <v>409</v>
      </c>
      <c r="D286" s="39" t="s">
        <v>410</v>
      </c>
      <c r="E286" s="39" t="s">
        <v>220</v>
      </c>
      <c r="F286" s="39" t="s">
        <v>221</v>
      </c>
      <c r="G286" s="40" t="str">
        <f>IF(LEN(ElecLkUp[[#This Row],[Ledger Code]])&gt;3,"AR"&amp;ElecLkUp[[#This Row],[Ledger Code]],"TBC")</f>
        <v>AR7148</v>
      </c>
      <c r="H286" s="115">
        <v>0</v>
      </c>
      <c r="I286" s="115">
        <v>0</v>
      </c>
      <c r="J286" s="115">
        <v>0</v>
      </c>
      <c r="K286" s="115">
        <v>0</v>
      </c>
      <c r="L286" s="115">
        <v>39008</v>
      </c>
      <c r="M286" s="115">
        <v>46527</v>
      </c>
      <c r="N286" s="115">
        <v>874</v>
      </c>
      <c r="O286" s="115">
        <v>38996</v>
      </c>
      <c r="P286" s="42">
        <v>0</v>
      </c>
      <c r="Q286" s="42">
        <v>14135.120000000003</v>
      </c>
      <c r="R286" s="42">
        <v>27125.559999999998</v>
      </c>
      <c r="S286" s="42">
        <v>16952.800000000003</v>
      </c>
      <c r="T286" s="42">
        <v>13416.410000000002</v>
      </c>
      <c r="U286" s="42">
        <v>7324.5799999999972</v>
      </c>
      <c r="V286" s="42">
        <v>2874.45</v>
      </c>
      <c r="W286" s="42">
        <v>5213.7400000000007</v>
      </c>
      <c r="X286" s="36">
        <v>0</v>
      </c>
      <c r="Y286" s="36">
        <v>0</v>
      </c>
      <c r="Z286" s="36">
        <v>0</v>
      </c>
      <c r="AA286" s="36">
        <v>0</v>
      </c>
      <c r="AB286" s="36">
        <v>39008</v>
      </c>
      <c r="AC286" s="36">
        <v>46527</v>
      </c>
      <c r="AD286" s="36">
        <v>202843</v>
      </c>
      <c r="AE286" s="36">
        <v>212723</v>
      </c>
    </row>
    <row r="287" spans="1:31" ht="15" customHeight="1" x14ac:dyDescent="0.25">
      <c r="A287" s="38">
        <v>3995</v>
      </c>
      <c r="B287" s="39">
        <v>7124</v>
      </c>
      <c r="C287" s="39" t="s">
        <v>411</v>
      </c>
      <c r="D287" s="39" t="s">
        <v>412</v>
      </c>
      <c r="E287" s="39" t="s">
        <v>220</v>
      </c>
      <c r="F287" s="39" t="s">
        <v>221</v>
      </c>
      <c r="G287" s="40" t="str">
        <f>IF(LEN(ElecLkUp[[#This Row],[Ledger Code]])&gt;3,"AR"&amp;ElecLkUp[[#This Row],[Ledger Code]],"TBC")</f>
        <v>AR7124</v>
      </c>
      <c r="H287" s="115"/>
      <c r="I287" s="115"/>
      <c r="J287" s="115"/>
      <c r="K287" s="115"/>
      <c r="L287" s="115"/>
      <c r="M287" s="115"/>
      <c r="N287" s="115"/>
      <c r="O287" s="115"/>
      <c r="P287" s="42">
        <v>22176.1</v>
      </c>
      <c r="Q287" s="42">
        <v>24243.629999999997</v>
      </c>
      <c r="R287" s="42">
        <v>29314.050000000003</v>
      </c>
      <c r="S287" s="42">
        <v>25477.38</v>
      </c>
      <c r="T287" s="42">
        <v>28946.799999999996</v>
      </c>
      <c r="U287" s="42">
        <v>1531.5399999999936</v>
      </c>
      <c r="V287" s="42">
        <v>0</v>
      </c>
      <c r="W287" s="42">
        <v>63753.479999999981</v>
      </c>
      <c r="X287" s="36" t="s">
        <v>352</v>
      </c>
      <c r="Y287" s="36" t="s">
        <v>352</v>
      </c>
      <c r="Z287" s="36" t="s">
        <v>352</v>
      </c>
      <c r="AA287" s="36" t="s">
        <v>352</v>
      </c>
      <c r="AB287" s="36" t="s">
        <v>352</v>
      </c>
      <c r="AC287" s="36" t="s">
        <v>352</v>
      </c>
      <c r="AD287" s="36" t="s">
        <v>352</v>
      </c>
      <c r="AE287" s="36" t="s">
        <v>352</v>
      </c>
    </row>
    <row r="288" spans="1:31" ht="15" customHeight="1" x14ac:dyDescent="0.25">
      <c r="A288" s="38">
        <v>3934</v>
      </c>
      <c r="B288" s="39">
        <v>7000</v>
      </c>
      <c r="C288" s="39" t="s">
        <v>413</v>
      </c>
      <c r="D288" s="39" t="s">
        <v>414</v>
      </c>
      <c r="E288" s="39" t="s">
        <v>220</v>
      </c>
      <c r="F288" s="39" t="s">
        <v>221</v>
      </c>
      <c r="G288" s="40" t="str">
        <f>IF(LEN(ElecLkUp[[#This Row],[Ledger Code]])&gt;3,"AR"&amp;ElecLkUp[[#This Row],[Ledger Code]],"TBC")</f>
        <v>AR7000</v>
      </c>
      <c r="H288" s="115">
        <v>231126.39999999999</v>
      </c>
      <c r="I288" s="115">
        <v>240867.6</v>
      </c>
      <c r="J288" s="115">
        <v>222088.8</v>
      </c>
      <c r="K288" s="115">
        <v>208279.3</v>
      </c>
      <c r="L288" s="115">
        <v>201912.8</v>
      </c>
      <c r="M288" s="115">
        <v>210815.1</v>
      </c>
      <c r="N288" s="115">
        <v>70956</v>
      </c>
      <c r="O288" s="115">
        <v>0</v>
      </c>
      <c r="P288" s="42">
        <v>0</v>
      </c>
      <c r="Q288" s="42">
        <v>46411.9</v>
      </c>
      <c r="R288" s="42">
        <v>25983.09</v>
      </c>
      <c r="S288" s="42">
        <v>25379.479999999996</v>
      </c>
      <c r="T288" s="42">
        <v>22370.959999999999</v>
      </c>
      <c r="U288" s="42">
        <v>23974.76</v>
      </c>
      <c r="V288" s="42">
        <v>24371.380000000005</v>
      </c>
      <c r="W288" s="42">
        <v>8538.2999999999993</v>
      </c>
      <c r="X288" s="36">
        <v>231126.39999999999</v>
      </c>
      <c r="Y288" s="36">
        <v>240867.6</v>
      </c>
      <c r="Z288" s="36">
        <v>222088.8</v>
      </c>
      <c r="AA288" s="36">
        <v>208279.3</v>
      </c>
      <c r="AB288" s="36">
        <v>201912.8</v>
      </c>
      <c r="AC288" s="36">
        <v>210815.1</v>
      </c>
      <c r="AD288" s="36">
        <v>70956</v>
      </c>
      <c r="AE288" s="36">
        <v>0</v>
      </c>
    </row>
    <row r="289" spans="1:31" ht="15" customHeight="1" x14ac:dyDescent="0.25">
      <c r="A289" s="38">
        <v>4174</v>
      </c>
      <c r="B289" s="39">
        <v>7054</v>
      </c>
      <c r="C289" s="39" t="s">
        <v>415</v>
      </c>
      <c r="D289" s="39" t="s">
        <v>416</v>
      </c>
      <c r="E289" s="39" t="s">
        <v>220</v>
      </c>
      <c r="F289" s="39" t="s">
        <v>228</v>
      </c>
      <c r="G289" s="40" t="str">
        <f>IF(LEN(ElecLkUp[[#This Row],[Ledger Code]])&gt;3,"AR"&amp;ElecLkUp[[#This Row],[Ledger Code]],"TBC")</f>
        <v>AR7054</v>
      </c>
      <c r="H289" s="115">
        <v>8789.2000000000007</v>
      </c>
      <c r="I289" s="115">
        <v>9154.2000000000007</v>
      </c>
      <c r="J289" s="115">
        <v>7606.9</v>
      </c>
      <c r="K289" s="115">
        <v>9842.2000000000007</v>
      </c>
      <c r="L289" s="115">
        <v>7104.6</v>
      </c>
      <c r="M289" s="115">
        <v>6659.6</v>
      </c>
      <c r="N289" s="115">
        <v>2404.1</v>
      </c>
      <c r="O289" s="115">
        <v>0</v>
      </c>
      <c r="P289" s="42">
        <v>0</v>
      </c>
      <c r="Q289" s="42">
        <v>53640.679999999993</v>
      </c>
      <c r="R289" s="42">
        <v>34250.850000000006</v>
      </c>
      <c r="S289" s="42">
        <v>35390.969999999994</v>
      </c>
      <c r="T289" s="42">
        <v>38896.699999999997</v>
      </c>
      <c r="U289" s="42">
        <v>30369.529999999988</v>
      </c>
      <c r="V289" s="42">
        <v>24635.900000000009</v>
      </c>
      <c r="W289" s="42">
        <v>22978.47</v>
      </c>
      <c r="X289" s="36">
        <v>8789.2000000000007</v>
      </c>
      <c r="Y289" s="36">
        <v>9154.2000000000007</v>
      </c>
      <c r="Z289" s="36">
        <v>7606.9</v>
      </c>
      <c r="AA289" s="36">
        <v>9842.2000000000007</v>
      </c>
      <c r="AB289" s="36">
        <v>7104.6</v>
      </c>
      <c r="AC289" s="36">
        <v>6659.6</v>
      </c>
      <c r="AD289" s="36">
        <v>2404.1</v>
      </c>
      <c r="AE289" s="36">
        <v>0</v>
      </c>
    </row>
    <row r="290" spans="1:31" ht="15" customHeight="1" x14ac:dyDescent="0.25">
      <c r="A290" s="38">
        <v>4231</v>
      </c>
      <c r="B290" s="39">
        <v>7453</v>
      </c>
      <c r="C290" s="39" t="s">
        <v>417</v>
      </c>
      <c r="D290" s="39" t="s">
        <v>418</v>
      </c>
      <c r="E290" s="39" t="s">
        <v>220</v>
      </c>
      <c r="F290" s="39" t="s">
        <v>228</v>
      </c>
      <c r="G290" s="40" t="str">
        <f>IF(LEN(ElecLkUp[[#This Row],[Ledger Code]])&gt;3,"AR"&amp;ElecLkUp[[#This Row],[Ledger Code]],"TBC")</f>
        <v>AR7453</v>
      </c>
      <c r="H290" s="115"/>
      <c r="I290" s="115"/>
      <c r="J290" s="115"/>
      <c r="K290" s="115"/>
      <c r="L290" s="115"/>
      <c r="M290" s="115"/>
      <c r="N290" s="115"/>
      <c r="O290" s="115"/>
      <c r="P290" s="42">
        <v>0</v>
      </c>
      <c r="Q290" s="42">
        <v>17606.349999999999</v>
      </c>
      <c r="R290" s="42">
        <v>17529.330000000002</v>
      </c>
      <c r="S290" s="42">
        <v>19373.300000000003</v>
      </c>
      <c r="T290" s="42">
        <v>14853.100000000004</v>
      </c>
      <c r="U290" s="42">
        <v>3810.9699999999975</v>
      </c>
      <c r="V290" s="42">
        <v>7288.5100000000057</v>
      </c>
      <c r="W290" s="42">
        <v>17062.990000000002</v>
      </c>
      <c r="X290" s="36" t="s">
        <v>352</v>
      </c>
      <c r="Y290" s="36" t="s">
        <v>352</v>
      </c>
      <c r="Z290" s="36" t="s">
        <v>352</v>
      </c>
      <c r="AA290" s="36" t="s">
        <v>352</v>
      </c>
      <c r="AB290" s="36" t="s">
        <v>352</v>
      </c>
      <c r="AC290" s="36" t="s">
        <v>352</v>
      </c>
      <c r="AD290" s="36" t="s">
        <v>352</v>
      </c>
      <c r="AE290" s="36" t="s">
        <v>352</v>
      </c>
    </row>
    <row r="291" spans="1:31" ht="15" customHeight="1" x14ac:dyDescent="0.25">
      <c r="A291" s="38">
        <v>4209</v>
      </c>
      <c r="B291" s="39">
        <v>7511</v>
      </c>
      <c r="C291" s="39" t="s">
        <v>419</v>
      </c>
      <c r="D291" s="39" t="s">
        <v>420</v>
      </c>
      <c r="E291" s="39" t="s">
        <v>220</v>
      </c>
      <c r="F291" s="39" t="s">
        <v>228</v>
      </c>
      <c r="G291" s="40" t="str">
        <f>IF(LEN(ElecLkUp[[#This Row],[Ledger Code]])&gt;3,"AR"&amp;ElecLkUp[[#This Row],[Ledger Code]],"TBC")</f>
        <v>AR7511</v>
      </c>
      <c r="H291" s="115"/>
      <c r="I291" s="115"/>
      <c r="J291" s="115"/>
      <c r="K291" s="115"/>
      <c r="L291" s="115"/>
      <c r="M291" s="115"/>
      <c r="N291" s="115"/>
      <c r="O291" s="115"/>
      <c r="P291" s="42">
        <v>0</v>
      </c>
      <c r="Q291" s="42">
        <v>0</v>
      </c>
      <c r="R291" s="42">
        <v>0</v>
      </c>
      <c r="S291" s="42">
        <v>0</v>
      </c>
      <c r="T291" s="42">
        <v>0</v>
      </c>
      <c r="U291" s="42">
        <v>0</v>
      </c>
      <c r="V291" s="42">
        <v>0</v>
      </c>
      <c r="W291" s="42">
        <v>0</v>
      </c>
      <c r="X291" s="36" t="s">
        <v>352</v>
      </c>
      <c r="Y291" s="36" t="s">
        <v>352</v>
      </c>
      <c r="Z291" s="36" t="s">
        <v>352</v>
      </c>
      <c r="AA291" s="36" t="s">
        <v>352</v>
      </c>
      <c r="AB291" s="36" t="s">
        <v>352</v>
      </c>
      <c r="AC291" s="36" t="s">
        <v>352</v>
      </c>
      <c r="AD291" s="36" t="s">
        <v>352</v>
      </c>
      <c r="AE291" s="36" t="s">
        <v>352</v>
      </c>
    </row>
    <row r="292" spans="1:31" ht="15" customHeight="1" x14ac:dyDescent="0.25">
      <c r="A292" s="38">
        <v>4665</v>
      </c>
      <c r="B292" s="39">
        <v>7509</v>
      </c>
      <c r="C292" s="39" t="s">
        <v>421</v>
      </c>
      <c r="D292" s="39" t="s">
        <v>422</v>
      </c>
      <c r="E292" s="39" t="s">
        <v>220</v>
      </c>
      <c r="F292" s="39" t="s">
        <v>244</v>
      </c>
      <c r="G292" s="40" t="str">
        <f>IF(LEN(ElecLkUp[[#This Row],[Ledger Code]])&gt;3,"AR"&amp;ElecLkUp[[#This Row],[Ledger Code]],"TBC")</f>
        <v>AR7509</v>
      </c>
      <c r="H292" s="115">
        <v>0</v>
      </c>
      <c r="I292" s="115">
        <v>0</v>
      </c>
      <c r="J292" s="115">
        <v>0</v>
      </c>
      <c r="K292" s="115">
        <v>0</v>
      </c>
      <c r="L292" s="115">
        <v>21430.799999999999</v>
      </c>
      <c r="M292" s="115">
        <v>62970.5</v>
      </c>
      <c r="N292" s="115">
        <v>23200</v>
      </c>
      <c r="O292" s="115">
        <v>0</v>
      </c>
      <c r="P292" s="42">
        <v>0</v>
      </c>
      <c r="Q292" s="42">
        <v>6242.7199999999993</v>
      </c>
      <c r="R292" s="42">
        <v>18204.640000000003</v>
      </c>
      <c r="S292" s="42">
        <v>19470.710000000003</v>
      </c>
      <c r="T292" s="42">
        <v>3543.9099999999989</v>
      </c>
      <c r="U292" s="42">
        <v>9017.9799999999941</v>
      </c>
      <c r="V292" s="42">
        <v>9318.1899999999987</v>
      </c>
      <c r="W292" s="42">
        <v>0</v>
      </c>
      <c r="X292" s="36">
        <v>0</v>
      </c>
      <c r="Y292" s="36">
        <v>0</v>
      </c>
      <c r="Z292" s="36">
        <v>0</v>
      </c>
      <c r="AA292" s="36">
        <v>0</v>
      </c>
      <c r="AB292" s="36">
        <v>21430.799999999999</v>
      </c>
      <c r="AC292" s="36">
        <v>62970.5</v>
      </c>
      <c r="AD292" s="36">
        <v>23200</v>
      </c>
      <c r="AE292" s="36">
        <v>0</v>
      </c>
    </row>
    <row r="293" spans="1:31" ht="15" customHeight="1" x14ac:dyDescent="0.25">
      <c r="A293" s="38">
        <v>4657</v>
      </c>
      <c r="B293" s="39">
        <v>7825</v>
      </c>
      <c r="C293" s="39" t="s">
        <v>423</v>
      </c>
      <c r="D293" s="39" t="s">
        <v>424</v>
      </c>
      <c r="E293" s="39" t="s">
        <v>220</v>
      </c>
      <c r="F293" s="39" t="s">
        <v>244</v>
      </c>
      <c r="G293" s="40" t="str">
        <f>IF(LEN(ElecLkUp[[#This Row],[Ledger Code]])&gt;3,"AR"&amp;ElecLkUp[[#This Row],[Ledger Code]],"TBC")</f>
        <v>AR7825</v>
      </c>
      <c r="H293" s="115">
        <v>0</v>
      </c>
      <c r="I293" s="115">
        <v>0</v>
      </c>
      <c r="J293" s="115">
        <v>10681</v>
      </c>
      <c r="K293" s="115">
        <v>4647</v>
      </c>
      <c r="L293" s="115">
        <v>3329</v>
      </c>
      <c r="M293" s="115">
        <v>5140</v>
      </c>
      <c r="N293" s="115">
        <v>104693</v>
      </c>
      <c r="O293" s="115">
        <v>-95167</v>
      </c>
      <c r="P293" s="42">
        <v>0</v>
      </c>
      <c r="Q293" s="42">
        <v>340.79999999999956</v>
      </c>
      <c r="R293" s="42">
        <v>2822.16</v>
      </c>
      <c r="S293" s="42">
        <v>1989.2600000000004</v>
      </c>
      <c r="T293" s="42">
        <v>-2650.2200000000003</v>
      </c>
      <c r="U293" s="42">
        <v>680.79000000000019</v>
      </c>
      <c r="V293" s="42">
        <v>13335.71</v>
      </c>
      <c r="W293" s="42">
        <v>-11912.85</v>
      </c>
      <c r="X293" s="36">
        <v>0</v>
      </c>
      <c r="Y293" s="36">
        <v>0</v>
      </c>
      <c r="Z293" s="36">
        <v>10681</v>
      </c>
      <c r="AA293" s="36">
        <v>4647</v>
      </c>
      <c r="AB293" s="36">
        <v>3329</v>
      </c>
      <c r="AC293" s="36">
        <v>5140</v>
      </c>
      <c r="AD293" s="36">
        <v>306662</v>
      </c>
      <c r="AE293" s="36">
        <v>78560</v>
      </c>
    </row>
    <row r="294" spans="1:31" ht="15" customHeight="1" x14ac:dyDescent="0.25">
      <c r="A294" s="38">
        <v>5971</v>
      </c>
      <c r="B294" s="39" t="s">
        <v>387</v>
      </c>
      <c r="C294" s="39" t="s">
        <v>425</v>
      </c>
      <c r="D294" s="39" t="s">
        <v>426</v>
      </c>
      <c r="E294" s="39" t="s">
        <v>220</v>
      </c>
      <c r="F294" s="39" t="s">
        <v>244</v>
      </c>
      <c r="G294" s="40" t="str">
        <f>IF(LEN(ElecLkUp[[#This Row],[Ledger Code]])&gt;3,"AR"&amp;ElecLkUp[[#This Row],[Ledger Code]],"TBC")</f>
        <v>TBC</v>
      </c>
      <c r="H294" s="115"/>
      <c r="I294" s="115"/>
      <c r="J294" s="115"/>
      <c r="K294" s="115"/>
      <c r="L294" s="115"/>
      <c r="M294" s="115"/>
      <c r="N294" s="115"/>
      <c r="O294" s="115"/>
      <c r="P294" s="42">
        <v>0</v>
      </c>
      <c r="Q294" s="42">
        <v>0</v>
      </c>
      <c r="R294" s="42">
        <v>0</v>
      </c>
      <c r="S294" s="42">
        <v>0</v>
      </c>
      <c r="T294" s="42">
        <v>0</v>
      </c>
      <c r="U294" s="42">
        <v>0</v>
      </c>
      <c r="V294" s="42">
        <v>0</v>
      </c>
      <c r="W294" s="42">
        <v>0</v>
      </c>
      <c r="X294" s="36" t="s">
        <v>352</v>
      </c>
      <c r="Y294" s="36" t="s">
        <v>352</v>
      </c>
      <c r="Z294" s="36" t="s">
        <v>352</v>
      </c>
      <c r="AA294" s="36" t="s">
        <v>352</v>
      </c>
      <c r="AB294" s="36" t="s">
        <v>352</v>
      </c>
      <c r="AC294" s="36" t="s">
        <v>352</v>
      </c>
      <c r="AD294" s="36" t="s">
        <v>352</v>
      </c>
      <c r="AE294" s="36" t="s">
        <v>352</v>
      </c>
    </row>
    <row r="295" spans="1:31" x14ac:dyDescent="0.25">
      <c r="A295" s="87">
        <v>665</v>
      </c>
      <c r="B295" s="88">
        <v>5286</v>
      </c>
      <c r="C295" s="88" t="s">
        <v>4343</v>
      </c>
      <c r="D295" s="88" t="s">
        <v>4344</v>
      </c>
      <c r="E295" s="88" t="s">
        <v>9</v>
      </c>
      <c r="F295" s="88" t="s">
        <v>10</v>
      </c>
      <c r="G295" s="43" t="str">
        <f>IF(LEN(ElecLkUp[[#This Row],[Ledger Code]])&gt;3,"AR"&amp;ElecLkUp[[#This Row],[Ledger Code]],"TBC")</f>
        <v>AR5286</v>
      </c>
      <c r="H295" s="116"/>
      <c r="I295" s="116"/>
      <c r="J295" s="116"/>
      <c r="K295" s="116"/>
      <c r="L295" s="116"/>
      <c r="M295" s="116"/>
      <c r="N295" s="116"/>
      <c r="O295" s="116"/>
      <c r="P295" s="45">
        <v>0</v>
      </c>
      <c r="Q295" s="45">
        <v>14122.77</v>
      </c>
      <c r="R295" s="45">
        <v>28501.289999999994</v>
      </c>
      <c r="S295" s="45">
        <v>0</v>
      </c>
      <c r="T295" s="45">
        <v>70305.140000000043</v>
      </c>
      <c r="U295" s="45">
        <v>134288.46000000005</v>
      </c>
      <c r="V295" s="45">
        <v>130285.54999999999</v>
      </c>
      <c r="W295" s="45">
        <v>8829.3099999999904</v>
      </c>
      <c r="X295" s="36" t="s">
        <v>352</v>
      </c>
      <c r="Y295" s="36" t="s">
        <v>352</v>
      </c>
      <c r="Z295" s="36" t="s">
        <v>352</v>
      </c>
      <c r="AA295" s="36" t="s">
        <v>352</v>
      </c>
      <c r="AB295" s="36" t="s">
        <v>352</v>
      </c>
      <c r="AC295" s="36" t="s">
        <v>352</v>
      </c>
      <c r="AD295" s="36" t="s">
        <v>352</v>
      </c>
      <c r="AE295" s="36" t="s">
        <v>352</v>
      </c>
    </row>
    <row r="296" spans="1:31" x14ac:dyDescent="0.25">
      <c r="A296" s="89">
        <v>3564</v>
      </c>
      <c r="B296" s="90">
        <v>6470</v>
      </c>
      <c r="C296" s="90" t="s">
        <v>4345</v>
      </c>
      <c r="D296" s="90" t="s">
        <v>4346</v>
      </c>
      <c r="E296" s="90" t="s">
        <v>9</v>
      </c>
      <c r="F296" s="90" t="s">
        <v>83</v>
      </c>
      <c r="G296" s="91" t="str">
        <f>IF(LEN(ElecLkUp[[#This Row],[Ledger Code]])&gt;3,"AR"&amp;ElecLkUp[[#This Row],[Ledger Code]],"TBC")</f>
        <v>AR6470</v>
      </c>
      <c r="H296" s="117">
        <v>0</v>
      </c>
      <c r="I296" s="117">
        <v>6778</v>
      </c>
      <c r="J296" s="117">
        <v>4118</v>
      </c>
      <c r="K296" s="117">
        <v>5830</v>
      </c>
      <c r="L296" s="117">
        <v>6250</v>
      </c>
      <c r="M296" s="117">
        <v>4894</v>
      </c>
      <c r="N296" s="117">
        <v>1907</v>
      </c>
      <c r="O296" s="117">
        <v>6994</v>
      </c>
      <c r="P296" s="92">
        <v>202.5</v>
      </c>
      <c r="Q296" s="92">
        <v>675.87000000000012</v>
      </c>
      <c r="R296" s="92">
        <v>557.16999999999985</v>
      </c>
      <c r="S296" s="92">
        <v>471.34</v>
      </c>
      <c r="T296" s="92">
        <v>1112.92</v>
      </c>
      <c r="U296" s="92">
        <v>673.81000000000017</v>
      </c>
      <c r="V296" s="92">
        <v>739.81</v>
      </c>
      <c r="W296" s="92">
        <v>423.44</v>
      </c>
      <c r="X296" s="36" t="s">
        <v>352</v>
      </c>
      <c r="Y296" s="36" t="s">
        <v>352</v>
      </c>
      <c r="Z296" s="36" t="s">
        <v>352</v>
      </c>
      <c r="AA296" s="36" t="s">
        <v>352</v>
      </c>
      <c r="AB296" s="36" t="s">
        <v>352</v>
      </c>
      <c r="AC296" s="36" t="s">
        <v>352</v>
      </c>
      <c r="AD296" s="36" t="s">
        <v>352</v>
      </c>
      <c r="AE296" s="36" t="s">
        <v>352</v>
      </c>
    </row>
    <row r="304" spans="1:31" x14ac:dyDescent="0.25">
      <c r="S304" s="129"/>
    </row>
  </sheetData>
  <mergeCells count="3">
    <mergeCell ref="P1:W1"/>
    <mergeCell ref="H1:O1"/>
    <mergeCell ref="X1:AE1"/>
  </mergeCell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96"/>
  <sheetViews>
    <sheetView topLeftCell="M1" workbookViewId="0">
      <selection activeCell="P304" sqref="P304"/>
    </sheetView>
  </sheetViews>
  <sheetFormatPr defaultColWidth="37.42578125" defaultRowHeight="15" x14ac:dyDescent="0.25"/>
  <cols>
    <col min="1" max="1" width="10.42578125" bestFit="1" customWidth="1"/>
    <col min="2" max="2" width="15.85546875" bestFit="1" customWidth="1"/>
    <col min="3" max="3" width="54.140625" customWidth="1"/>
    <col min="4" max="4" width="11.85546875" bestFit="1" customWidth="1"/>
    <col min="5" max="5" width="14.140625" bestFit="1" customWidth="1"/>
    <col min="6" max="6" width="28.42578125" bestFit="1" customWidth="1"/>
    <col min="7" max="7" width="15.140625" customWidth="1"/>
    <col min="8" max="15" width="14.140625" bestFit="1" customWidth="1"/>
    <col min="16" max="23" width="16.5703125" bestFit="1" customWidth="1"/>
  </cols>
  <sheetData>
    <row r="1" spans="1:23" x14ac:dyDescent="0.25">
      <c r="H1" s="294" t="s">
        <v>361</v>
      </c>
      <c r="I1" s="294"/>
      <c r="J1" s="294"/>
      <c r="K1" s="294"/>
      <c r="L1" s="294"/>
      <c r="M1" s="294"/>
      <c r="N1" s="294"/>
      <c r="O1" s="294"/>
      <c r="P1" s="294" t="s">
        <v>362</v>
      </c>
      <c r="Q1" s="294"/>
      <c r="R1" s="294"/>
      <c r="S1" s="294"/>
      <c r="T1" s="294"/>
      <c r="U1" s="294"/>
      <c r="V1" s="294"/>
      <c r="W1" s="294"/>
    </row>
    <row r="2" spans="1:23" ht="30" x14ac:dyDescent="0.25">
      <c r="A2" s="1" t="s">
        <v>0</v>
      </c>
      <c r="B2" s="2" t="s">
        <v>1</v>
      </c>
      <c r="C2" s="2" t="s">
        <v>2</v>
      </c>
      <c r="D2" s="13" t="s">
        <v>3</v>
      </c>
      <c r="E2" s="13" t="s">
        <v>4</v>
      </c>
      <c r="F2" s="13" t="s">
        <v>5</v>
      </c>
      <c r="G2" s="3" t="s">
        <v>6</v>
      </c>
      <c r="H2" s="22" t="s">
        <v>353</v>
      </c>
      <c r="I2" s="22" t="s">
        <v>354</v>
      </c>
      <c r="J2" s="22" t="s">
        <v>355</v>
      </c>
      <c r="K2" s="22" t="s">
        <v>356</v>
      </c>
      <c r="L2" s="22" t="s">
        <v>357</v>
      </c>
      <c r="M2" s="22" t="s">
        <v>358</v>
      </c>
      <c r="N2" s="22" t="s">
        <v>359</v>
      </c>
      <c r="O2" s="22" t="s">
        <v>360</v>
      </c>
      <c r="P2" s="23" t="s">
        <v>390</v>
      </c>
      <c r="Q2" s="23" t="s">
        <v>391</v>
      </c>
      <c r="R2" s="23" t="s">
        <v>392</v>
      </c>
      <c r="S2" s="23" t="s">
        <v>393</v>
      </c>
      <c r="T2" s="23" t="s">
        <v>394</v>
      </c>
      <c r="U2" s="23" t="s">
        <v>395</v>
      </c>
      <c r="V2" s="23" t="s">
        <v>396</v>
      </c>
      <c r="W2" s="23" t="s">
        <v>397</v>
      </c>
    </row>
    <row r="3" spans="1:23" hidden="1" x14ac:dyDescent="0.25">
      <c r="A3" s="18">
        <v>4</v>
      </c>
      <c r="B3" s="19">
        <v>5090</v>
      </c>
      <c r="C3" s="19" t="s">
        <v>7</v>
      </c>
      <c r="D3" s="19" t="s">
        <v>8</v>
      </c>
      <c r="E3" s="19" t="s">
        <v>9</v>
      </c>
      <c r="F3" s="19" t="s">
        <v>10</v>
      </c>
      <c r="G3" s="20" t="str">
        <f>IF(LEN(Table12_52_03[[#This Row],[Ledger Code]])&gt;3,"AR"&amp;Table12_52_03[[#This Row],[Ledger Code]],"TBC")</f>
        <v>AR5090</v>
      </c>
      <c r="H3" s="20">
        <v>0</v>
      </c>
      <c r="I3" s="20">
        <v>0</v>
      </c>
      <c r="J3" s="20">
        <v>0</v>
      </c>
      <c r="K3" s="20">
        <v>0</v>
      </c>
      <c r="L3" s="20">
        <v>0</v>
      </c>
      <c r="M3" s="20">
        <v>0</v>
      </c>
      <c r="N3" s="20">
        <v>0</v>
      </c>
      <c r="O3" s="20">
        <v>0</v>
      </c>
      <c r="P3" s="41">
        <v>0</v>
      </c>
      <c r="Q3" s="41">
        <v>0</v>
      </c>
      <c r="R3" s="41">
        <v>0</v>
      </c>
      <c r="S3" s="41">
        <v>0</v>
      </c>
      <c r="T3" s="41">
        <v>0</v>
      </c>
      <c r="U3" s="41">
        <v>0</v>
      </c>
      <c r="V3" s="41">
        <v>0</v>
      </c>
      <c r="W3" s="41">
        <v>0</v>
      </c>
    </row>
    <row r="4" spans="1:23" hidden="1" x14ac:dyDescent="0.25">
      <c r="A4" s="18">
        <v>10</v>
      </c>
      <c r="B4" s="19">
        <v>5104</v>
      </c>
      <c r="C4" s="19" t="s">
        <v>11</v>
      </c>
      <c r="D4" s="19" t="s">
        <v>12</v>
      </c>
      <c r="E4" s="19" t="s">
        <v>9</v>
      </c>
      <c r="F4" s="19" t="s">
        <v>10</v>
      </c>
      <c r="G4" s="20" t="str">
        <f>IF(LEN(Table12_52_03[[#This Row],[Ledger Code]])&gt;3,"AR"&amp;Table12_52_03[[#This Row],[Ledger Code]],"TBC")</f>
        <v>AR5104</v>
      </c>
      <c r="H4" s="20">
        <v>6755</v>
      </c>
      <c r="I4" s="20">
        <v>3556</v>
      </c>
      <c r="J4" s="20">
        <v>17707</v>
      </c>
      <c r="K4" s="20">
        <v>25430</v>
      </c>
      <c r="L4" s="20">
        <v>17109</v>
      </c>
      <c r="M4" s="20">
        <v>14417</v>
      </c>
      <c r="N4" s="20">
        <v>30266</v>
      </c>
      <c r="O4" s="20">
        <v>63872</v>
      </c>
      <c r="P4" s="41">
        <v>0</v>
      </c>
      <c r="Q4" s="41">
        <v>1555.6599999999996</v>
      </c>
      <c r="R4" s="41">
        <v>1359.6899999999996</v>
      </c>
      <c r="S4" s="41">
        <v>-1635.5200000000032</v>
      </c>
      <c r="T4" s="41">
        <v>160.0599999999979</v>
      </c>
      <c r="U4" s="41">
        <v>521.6</v>
      </c>
      <c r="V4" s="41">
        <v>1234.1100000000001</v>
      </c>
      <c r="W4" s="41">
        <v>1468.4899999999998</v>
      </c>
    </row>
    <row r="5" spans="1:23" hidden="1" x14ac:dyDescent="0.25">
      <c r="A5" s="18">
        <v>167</v>
      </c>
      <c r="B5" s="19">
        <v>5146</v>
      </c>
      <c r="C5" s="19" t="s">
        <v>13</v>
      </c>
      <c r="D5" s="19" t="s">
        <v>14</v>
      </c>
      <c r="E5" s="19" t="s">
        <v>9</v>
      </c>
      <c r="F5" s="19" t="s">
        <v>10</v>
      </c>
      <c r="G5" s="20" t="str">
        <f>IF(LEN(Table12_52_03[[#This Row],[Ledger Code]])&gt;3,"AR"&amp;Table12_52_03[[#This Row],[Ledger Code]],"TBC")</f>
        <v>AR5146</v>
      </c>
      <c r="H5" s="20">
        <v>0</v>
      </c>
      <c r="I5" s="20">
        <v>0</v>
      </c>
      <c r="J5" s="20">
        <v>0</v>
      </c>
      <c r="K5" s="20">
        <v>0</v>
      </c>
      <c r="L5" s="20">
        <v>0</v>
      </c>
      <c r="M5" s="20">
        <v>0</v>
      </c>
      <c r="N5" s="20">
        <v>0</v>
      </c>
      <c r="O5" s="20">
        <v>0</v>
      </c>
      <c r="P5" s="41">
        <v>1713.28</v>
      </c>
      <c r="Q5" s="41">
        <v>5731.9599999999991</v>
      </c>
      <c r="R5" s="41">
        <v>5929.44</v>
      </c>
      <c r="S5" s="41">
        <v>6528.59</v>
      </c>
      <c r="T5" s="41">
        <v>2331.0200000000004</v>
      </c>
      <c r="U5" s="41">
        <v>7373.4600000000009</v>
      </c>
      <c r="V5" s="41">
        <v>7885.4500000000007</v>
      </c>
      <c r="W5" s="41">
        <v>11057.45</v>
      </c>
    </row>
    <row r="6" spans="1:23" hidden="1" x14ac:dyDescent="0.25">
      <c r="A6" s="18">
        <v>190</v>
      </c>
      <c r="B6" s="19">
        <v>5182</v>
      </c>
      <c r="C6" s="19" t="s">
        <v>15</v>
      </c>
      <c r="D6" s="19" t="s">
        <v>16</v>
      </c>
      <c r="E6" s="19" t="s">
        <v>9</v>
      </c>
      <c r="F6" s="19" t="s">
        <v>10</v>
      </c>
      <c r="G6" s="20" t="str">
        <f>IF(LEN(Table12_52_03[[#This Row],[Ledger Code]])&gt;3,"AR"&amp;Table12_52_03[[#This Row],[Ledger Code]],"TBC")</f>
        <v>AR5182</v>
      </c>
      <c r="H6" s="20">
        <v>0</v>
      </c>
      <c r="I6" s="20">
        <v>0</v>
      </c>
      <c r="J6" s="20">
        <v>0</v>
      </c>
      <c r="K6" s="20">
        <v>103118</v>
      </c>
      <c r="L6" s="20">
        <v>29019</v>
      </c>
      <c r="M6" s="20">
        <v>18376</v>
      </c>
      <c r="N6" s="20">
        <v>56910</v>
      </c>
      <c r="O6" s="20">
        <v>109402</v>
      </c>
      <c r="P6" s="41">
        <v>0</v>
      </c>
      <c r="Q6" s="41">
        <v>0</v>
      </c>
      <c r="R6" s="41">
        <v>9721.9999999999909</v>
      </c>
      <c r="S6" s="41">
        <v>13342.87</v>
      </c>
      <c r="T6" s="41">
        <v>2871.1000000000004</v>
      </c>
      <c r="U6" s="41">
        <v>832.27000000000146</v>
      </c>
      <c r="V6" s="41">
        <v>2459.330000000004</v>
      </c>
      <c r="W6" s="41">
        <v>3046.69</v>
      </c>
    </row>
    <row r="7" spans="1:23" hidden="1" x14ac:dyDescent="0.25">
      <c r="A7" s="18">
        <v>199</v>
      </c>
      <c r="B7" s="19">
        <v>5205</v>
      </c>
      <c r="C7" s="19" t="s">
        <v>17</v>
      </c>
      <c r="D7" s="19" t="s">
        <v>18</v>
      </c>
      <c r="E7" s="19" t="s">
        <v>9</v>
      </c>
      <c r="F7" s="19" t="s">
        <v>10</v>
      </c>
      <c r="G7" s="20" t="str">
        <f>IF(LEN(Table12_52_03[[#This Row],[Ledger Code]])&gt;3,"AR"&amp;Table12_52_03[[#This Row],[Ledger Code]],"TBC")</f>
        <v>AR5205</v>
      </c>
      <c r="H7" s="20">
        <v>0</v>
      </c>
      <c r="I7" s="20">
        <v>0</v>
      </c>
      <c r="J7" s="20">
        <v>0</v>
      </c>
      <c r="K7" s="20">
        <v>0</v>
      </c>
      <c r="L7" s="20">
        <v>0</v>
      </c>
      <c r="M7" s="20">
        <v>0</v>
      </c>
      <c r="N7" s="20">
        <v>0</v>
      </c>
      <c r="O7" s="20">
        <v>0</v>
      </c>
      <c r="P7" s="41">
        <v>2142.9699999999998</v>
      </c>
      <c r="Q7" s="41">
        <v>0</v>
      </c>
      <c r="R7" s="41">
        <v>1.8189894035458565E-12</v>
      </c>
      <c r="S7" s="41">
        <v>0</v>
      </c>
      <c r="T7" s="41">
        <v>-36.260000000000218</v>
      </c>
      <c r="U7" s="41">
        <v>2524.8599999999974</v>
      </c>
      <c r="V7" s="41">
        <v>8742.4100000000017</v>
      </c>
      <c r="W7" s="41">
        <v>2799.1200000000003</v>
      </c>
    </row>
    <row r="8" spans="1:23" hidden="1" x14ac:dyDescent="0.25">
      <c r="A8" s="18">
        <v>243</v>
      </c>
      <c r="B8" s="19">
        <v>5041</v>
      </c>
      <c r="C8" s="19" t="s">
        <v>19</v>
      </c>
      <c r="D8" s="19" t="s">
        <v>20</v>
      </c>
      <c r="E8" s="19" t="s">
        <v>9</v>
      </c>
      <c r="F8" s="19" t="s">
        <v>10</v>
      </c>
      <c r="G8" s="20" t="str">
        <f>IF(LEN(Table12_52_03[[#This Row],[Ledger Code]])&gt;3,"AR"&amp;Table12_52_03[[#This Row],[Ledger Code]],"TBC")</f>
        <v>AR5041</v>
      </c>
      <c r="H8" s="20">
        <v>0</v>
      </c>
      <c r="I8" s="20">
        <v>0</v>
      </c>
      <c r="J8" s="20">
        <v>0</v>
      </c>
      <c r="K8" s="20">
        <v>0</v>
      </c>
      <c r="L8" s="20">
        <v>0</v>
      </c>
      <c r="M8" s="20">
        <v>0</v>
      </c>
      <c r="N8" s="20">
        <v>0</v>
      </c>
      <c r="O8" s="20">
        <v>0</v>
      </c>
      <c r="P8" s="41">
        <v>0</v>
      </c>
      <c r="Q8" s="41">
        <v>0</v>
      </c>
      <c r="R8" s="41">
        <v>0</v>
      </c>
      <c r="S8" s="41">
        <v>0</v>
      </c>
      <c r="T8" s="41">
        <v>0</v>
      </c>
      <c r="U8" s="41">
        <v>0</v>
      </c>
      <c r="V8" s="41">
        <v>0</v>
      </c>
      <c r="W8" s="41">
        <v>0</v>
      </c>
    </row>
    <row r="9" spans="1:23" hidden="1" x14ac:dyDescent="0.25">
      <c r="A9" s="18">
        <v>251</v>
      </c>
      <c r="B9" s="19">
        <v>5057</v>
      </c>
      <c r="C9" s="19" t="s">
        <v>21</v>
      </c>
      <c r="D9" s="19" t="s">
        <v>22</v>
      </c>
      <c r="E9" s="19" t="s">
        <v>9</v>
      </c>
      <c r="F9" s="19" t="s">
        <v>10</v>
      </c>
      <c r="G9" s="20" t="str">
        <f>IF(LEN(Table12_52_03[[#This Row],[Ledger Code]])&gt;3,"AR"&amp;Table12_52_03[[#This Row],[Ledger Code]],"TBC")</f>
        <v>AR5057</v>
      </c>
      <c r="H9" s="20">
        <v>0</v>
      </c>
      <c r="I9" s="20">
        <v>0</v>
      </c>
      <c r="J9" s="20">
        <v>0</v>
      </c>
      <c r="K9" s="20">
        <v>0</v>
      </c>
      <c r="L9" s="20">
        <v>0</v>
      </c>
      <c r="M9" s="20">
        <v>0</v>
      </c>
      <c r="N9" s="20">
        <v>0</v>
      </c>
      <c r="O9" s="20">
        <v>0</v>
      </c>
      <c r="P9" s="41">
        <v>0</v>
      </c>
      <c r="Q9" s="41">
        <v>0</v>
      </c>
      <c r="R9" s="41">
        <v>0</v>
      </c>
      <c r="S9" s="41">
        <v>0</v>
      </c>
      <c r="T9" s="41">
        <v>0</v>
      </c>
      <c r="U9" s="41">
        <v>0</v>
      </c>
      <c r="V9" s="41">
        <v>0</v>
      </c>
      <c r="W9" s="41">
        <v>0</v>
      </c>
    </row>
    <row r="10" spans="1:23" hidden="1" x14ac:dyDescent="0.25">
      <c r="A10" s="18">
        <v>255</v>
      </c>
      <c r="B10" s="19">
        <v>5055</v>
      </c>
      <c r="C10" s="19" t="s">
        <v>23</v>
      </c>
      <c r="D10" s="19" t="s">
        <v>22</v>
      </c>
      <c r="E10" s="19" t="s">
        <v>9</v>
      </c>
      <c r="F10" s="19" t="s">
        <v>10</v>
      </c>
      <c r="G10" s="20" t="str">
        <f>IF(LEN(Table12_52_03[[#This Row],[Ledger Code]])&gt;3,"AR"&amp;Table12_52_03[[#This Row],[Ledger Code]],"TBC")</f>
        <v>AR5055</v>
      </c>
      <c r="H10" s="20">
        <v>0</v>
      </c>
      <c r="I10" s="20">
        <v>0</v>
      </c>
      <c r="J10" s="20">
        <v>0</v>
      </c>
      <c r="K10" s="20">
        <v>0</v>
      </c>
      <c r="L10" s="20">
        <v>0</v>
      </c>
      <c r="M10" s="20">
        <v>0</v>
      </c>
      <c r="N10" s="20">
        <v>0</v>
      </c>
      <c r="O10" s="20">
        <v>0</v>
      </c>
      <c r="P10" s="41">
        <v>0</v>
      </c>
      <c r="Q10" s="41">
        <v>0</v>
      </c>
      <c r="R10" s="41">
        <v>0</v>
      </c>
      <c r="S10" s="41">
        <v>0</v>
      </c>
      <c r="T10" s="41">
        <v>0</v>
      </c>
      <c r="U10" s="41">
        <v>0</v>
      </c>
      <c r="V10" s="41">
        <v>0</v>
      </c>
      <c r="W10" s="41">
        <v>0</v>
      </c>
    </row>
    <row r="11" spans="1:23" hidden="1" x14ac:dyDescent="0.25">
      <c r="A11" s="18">
        <v>388</v>
      </c>
      <c r="B11" s="19">
        <v>9029</v>
      </c>
      <c r="C11" s="19" t="s">
        <v>24</v>
      </c>
      <c r="D11" s="19" t="s">
        <v>25</v>
      </c>
      <c r="E11" s="19" t="s">
        <v>26</v>
      </c>
      <c r="F11" s="19" t="s">
        <v>27</v>
      </c>
      <c r="G11" s="20" t="str">
        <f>IF(LEN(Table12_52_03[[#This Row],[Ledger Code]])&gt;3,"AR"&amp;Table12_52_03[[#This Row],[Ledger Code]],"TBC")</f>
        <v>AR9029</v>
      </c>
      <c r="H11" s="20">
        <v>0</v>
      </c>
      <c r="I11" s="20">
        <v>0</v>
      </c>
      <c r="J11" s="20">
        <v>0</v>
      </c>
      <c r="K11" s="20">
        <v>0</v>
      </c>
      <c r="L11" s="20">
        <v>0</v>
      </c>
      <c r="M11" s="20">
        <v>0</v>
      </c>
      <c r="N11" s="20">
        <v>0</v>
      </c>
      <c r="O11" s="20">
        <v>0</v>
      </c>
      <c r="P11" s="41">
        <v>0</v>
      </c>
      <c r="Q11" s="41">
        <v>0</v>
      </c>
      <c r="R11" s="41">
        <v>0</v>
      </c>
      <c r="S11" s="41">
        <v>0</v>
      </c>
      <c r="T11" s="41">
        <v>0</v>
      </c>
      <c r="U11" s="41">
        <v>0</v>
      </c>
      <c r="V11" s="41">
        <v>0</v>
      </c>
      <c r="W11" s="41">
        <v>0</v>
      </c>
    </row>
    <row r="12" spans="1:23" hidden="1" x14ac:dyDescent="0.25">
      <c r="A12" s="18">
        <v>409</v>
      </c>
      <c r="B12" s="19">
        <v>8009</v>
      </c>
      <c r="C12" s="19" t="s">
        <v>28</v>
      </c>
      <c r="D12" s="19" t="s">
        <v>29</v>
      </c>
      <c r="E12" s="19" t="s">
        <v>26</v>
      </c>
      <c r="F12" s="19" t="s">
        <v>27</v>
      </c>
      <c r="G12" s="20" t="str">
        <f>IF(LEN(Table12_52_03[[#This Row],[Ledger Code]])&gt;3,"AR"&amp;Table12_52_03[[#This Row],[Ledger Code]],"TBC")</f>
        <v>AR8009</v>
      </c>
      <c r="H12" s="20">
        <v>595158</v>
      </c>
      <c r="I12" s="20">
        <v>162975</v>
      </c>
      <c r="J12" s="20">
        <v>821406</v>
      </c>
      <c r="K12" s="20">
        <v>992508</v>
      </c>
      <c r="L12" s="20">
        <v>544966</v>
      </c>
      <c r="M12" s="20">
        <v>279595</v>
      </c>
      <c r="N12" s="20">
        <v>800341</v>
      </c>
      <c r="O12" s="20">
        <v>734218</v>
      </c>
      <c r="P12" s="41">
        <v>0</v>
      </c>
      <c r="Q12" s="41">
        <v>23200.989999999998</v>
      </c>
      <c r="R12" s="41">
        <v>19941.449999999997</v>
      </c>
      <c r="S12" s="41">
        <v>32666.849999999995</v>
      </c>
      <c r="T12" s="41">
        <v>25399.61</v>
      </c>
      <c r="U12" s="41">
        <v>9534.9899999999907</v>
      </c>
      <c r="V12" s="41">
        <v>19850.76999999999</v>
      </c>
      <c r="W12" s="41">
        <v>24269.180000000004</v>
      </c>
    </row>
    <row r="13" spans="1:23" hidden="1" x14ac:dyDescent="0.25">
      <c r="A13" s="18">
        <v>424</v>
      </c>
      <c r="B13" s="19">
        <v>8044</v>
      </c>
      <c r="C13" s="19" t="s">
        <v>30</v>
      </c>
      <c r="D13" s="19" t="s">
        <v>31</v>
      </c>
      <c r="E13" s="19" t="s">
        <v>26</v>
      </c>
      <c r="F13" s="19" t="s">
        <v>27</v>
      </c>
      <c r="G13" s="20" t="str">
        <f>IF(LEN(Table12_52_03[[#This Row],[Ledger Code]])&gt;3,"AR"&amp;Table12_52_03[[#This Row],[Ledger Code]],"TBC")</f>
        <v>AR8044</v>
      </c>
      <c r="H13" s="20">
        <v>38969</v>
      </c>
      <c r="I13" s="20">
        <v>6711</v>
      </c>
      <c r="J13" s="20">
        <v>20864</v>
      </c>
      <c r="K13" s="20">
        <v>44934</v>
      </c>
      <c r="L13" s="20">
        <v>14366</v>
      </c>
      <c r="M13" s="20">
        <v>8629</v>
      </c>
      <c r="N13" s="20">
        <v>21647</v>
      </c>
      <c r="O13" s="20">
        <v>48334</v>
      </c>
      <c r="P13" s="41">
        <v>378.16</v>
      </c>
      <c r="Q13" s="41">
        <v>1307.8999999999999</v>
      </c>
      <c r="R13" s="41">
        <v>719.63000000000079</v>
      </c>
      <c r="S13" s="41">
        <v>1620.65</v>
      </c>
      <c r="T13" s="41">
        <v>1049</v>
      </c>
      <c r="U13" s="41">
        <v>734.72</v>
      </c>
      <c r="V13" s="41">
        <v>803.6799999999995</v>
      </c>
      <c r="W13" s="41">
        <v>1331.08</v>
      </c>
    </row>
    <row r="14" spans="1:23" hidden="1" x14ac:dyDescent="0.25">
      <c r="A14" s="18">
        <v>444</v>
      </c>
      <c r="B14" s="19">
        <v>8084</v>
      </c>
      <c r="C14" s="19" t="s">
        <v>329</v>
      </c>
      <c r="D14" s="19" t="s">
        <v>330</v>
      </c>
      <c r="E14" s="19" t="s">
        <v>26</v>
      </c>
      <c r="F14" s="19" t="s">
        <v>27</v>
      </c>
      <c r="G14" s="20" t="str">
        <f>IF(LEN(Table12_52_03[[#This Row],[Ledger Code]])&gt;3,"AR"&amp;Table12_52_03[[#This Row],[Ledger Code]],"TBC")</f>
        <v>AR8084</v>
      </c>
      <c r="H14" s="20">
        <v>25357</v>
      </c>
      <c r="I14" s="20">
        <v>22072</v>
      </c>
      <c r="J14" s="20">
        <v>27081</v>
      </c>
      <c r="K14" s="20">
        <v>46682</v>
      </c>
      <c r="L14" s="20">
        <v>36057</v>
      </c>
      <c r="M14" s="20">
        <v>25375</v>
      </c>
      <c r="N14" s="20">
        <v>25040</v>
      </c>
      <c r="O14" s="20">
        <v>63657</v>
      </c>
      <c r="P14" s="41">
        <v>0</v>
      </c>
      <c r="Q14" s="41">
        <v>0</v>
      </c>
      <c r="R14" s="41">
        <v>0</v>
      </c>
      <c r="S14" s="41">
        <v>1772.95</v>
      </c>
      <c r="T14" s="41">
        <v>5022.2500000000009</v>
      </c>
      <c r="U14" s="41">
        <v>692.51</v>
      </c>
      <c r="V14" s="41">
        <v>1305.1400000000003</v>
      </c>
      <c r="W14" s="41">
        <v>1477.31</v>
      </c>
    </row>
    <row r="15" spans="1:23" hidden="1" x14ac:dyDescent="0.25">
      <c r="A15" s="18">
        <v>448</v>
      </c>
      <c r="B15" s="19">
        <v>8079</v>
      </c>
      <c r="C15" s="19" t="s">
        <v>32</v>
      </c>
      <c r="D15" s="19" t="s">
        <v>33</v>
      </c>
      <c r="E15" s="19" t="s">
        <v>26</v>
      </c>
      <c r="F15" s="19" t="s">
        <v>27</v>
      </c>
      <c r="G15" s="20" t="str">
        <f>IF(LEN(Table12_52_03[[#This Row],[Ledger Code]])&gt;3,"AR"&amp;Table12_52_03[[#This Row],[Ledger Code]],"TBC")</f>
        <v>AR8079</v>
      </c>
      <c r="H15" s="20">
        <v>0</v>
      </c>
      <c r="I15" s="20">
        <v>0</v>
      </c>
      <c r="J15" s="20">
        <v>0</v>
      </c>
      <c r="K15" s="20">
        <v>0</v>
      </c>
      <c r="L15" s="20">
        <v>0</v>
      </c>
      <c r="M15" s="20">
        <v>0</v>
      </c>
      <c r="N15" s="20">
        <v>0</v>
      </c>
      <c r="O15" s="20">
        <v>0</v>
      </c>
      <c r="P15" s="41">
        <v>0</v>
      </c>
      <c r="Q15" s="41">
        <v>0</v>
      </c>
      <c r="R15" s="41">
        <v>0</v>
      </c>
      <c r="S15" s="41">
        <v>0</v>
      </c>
      <c r="T15" s="41">
        <v>0</v>
      </c>
      <c r="U15" s="41">
        <v>0</v>
      </c>
      <c r="V15" s="41">
        <v>0</v>
      </c>
      <c r="W15" s="41">
        <v>0</v>
      </c>
    </row>
    <row r="16" spans="1:23" hidden="1" x14ac:dyDescent="0.25">
      <c r="A16" s="18">
        <v>458</v>
      </c>
      <c r="B16" s="19">
        <v>9026</v>
      </c>
      <c r="C16" s="19" t="s">
        <v>34</v>
      </c>
      <c r="D16" s="19" t="s">
        <v>35</v>
      </c>
      <c r="E16" s="19" t="s">
        <v>26</v>
      </c>
      <c r="F16" s="19" t="s">
        <v>27</v>
      </c>
      <c r="G16" s="20" t="str">
        <f>IF(LEN(Table12_52_03[[#This Row],[Ledger Code]])&gt;3,"AR"&amp;Table12_52_03[[#This Row],[Ledger Code]],"TBC")</f>
        <v>AR9026</v>
      </c>
      <c r="H16" s="20">
        <v>95325</v>
      </c>
      <c r="I16" s="20">
        <v>8353</v>
      </c>
      <c r="J16" s="20">
        <v>110973</v>
      </c>
      <c r="K16" s="20">
        <v>148996</v>
      </c>
      <c r="L16" s="20">
        <v>40335</v>
      </c>
      <c r="M16" s="20">
        <v>14033</v>
      </c>
      <c r="N16" s="20">
        <v>101213</v>
      </c>
      <c r="O16" s="20">
        <v>93493</v>
      </c>
      <c r="P16" s="41">
        <v>0</v>
      </c>
      <c r="Q16" s="41">
        <v>0</v>
      </c>
      <c r="R16" s="41">
        <v>0</v>
      </c>
      <c r="S16" s="41">
        <v>4662.3999999999996</v>
      </c>
      <c r="T16" s="41">
        <v>12908.310000000005</v>
      </c>
      <c r="U16" s="41">
        <v>1152.3400000000001</v>
      </c>
      <c r="V16" s="41">
        <v>2875.2899999999991</v>
      </c>
      <c r="W16" s="41">
        <v>3491.93</v>
      </c>
    </row>
    <row r="17" spans="1:23" hidden="1" x14ac:dyDescent="0.25">
      <c r="A17" s="18">
        <v>622</v>
      </c>
      <c r="B17" s="19">
        <v>5336</v>
      </c>
      <c r="C17" s="19" t="s">
        <v>36</v>
      </c>
      <c r="D17" s="19" t="s">
        <v>37</v>
      </c>
      <c r="E17" s="19" t="s">
        <v>9</v>
      </c>
      <c r="F17" s="19" t="s">
        <v>10</v>
      </c>
      <c r="G17" s="20" t="str">
        <f>IF(LEN(Table12_52_03[[#This Row],[Ledger Code]])&gt;3,"AR"&amp;Table12_52_03[[#This Row],[Ledger Code]],"TBC")</f>
        <v>AR5336</v>
      </c>
      <c r="H17" s="20">
        <v>0</v>
      </c>
      <c r="I17" s="20">
        <v>0</v>
      </c>
      <c r="J17" s="20">
        <v>0</v>
      </c>
      <c r="K17" s="20">
        <v>0</v>
      </c>
      <c r="L17" s="20">
        <v>0</v>
      </c>
      <c r="M17" s="20">
        <v>-1279</v>
      </c>
      <c r="N17" s="20">
        <v>11161</v>
      </c>
      <c r="O17" s="20">
        <v>103253</v>
      </c>
      <c r="P17" s="41">
        <v>0</v>
      </c>
      <c r="Q17" s="41">
        <v>0</v>
      </c>
      <c r="R17" s="41">
        <v>0</v>
      </c>
      <c r="S17" s="41">
        <v>0</v>
      </c>
      <c r="T17" s="41">
        <v>0</v>
      </c>
      <c r="U17" s="41">
        <v>0</v>
      </c>
      <c r="V17" s="41">
        <v>1241.3200000000002</v>
      </c>
      <c r="W17" s="41">
        <v>1306.4300000000003</v>
      </c>
    </row>
    <row r="18" spans="1:23" hidden="1" x14ac:dyDescent="0.25">
      <c r="A18" s="18">
        <v>624</v>
      </c>
      <c r="B18" s="19">
        <v>5338</v>
      </c>
      <c r="C18" s="19" t="s">
        <v>38</v>
      </c>
      <c r="D18" s="19" t="s">
        <v>39</v>
      </c>
      <c r="E18" s="19" t="s">
        <v>9</v>
      </c>
      <c r="F18" s="19" t="s">
        <v>10</v>
      </c>
      <c r="G18" s="20" t="str">
        <f>IF(LEN(Table12_52_03[[#This Row],[Ledger Code]])&gt;3,"AR"&amp;Table12_52_03[[#This Row],[Ledger Code]],"TBC")</f>
        <v>AR5338</v>
      </c>
      <c r="H18" s="20">
        <v>0</v>
      </c>
      <c r="I18" s="20">
        <v>0</v>
      </c>
      <c r="J18" s="20">
        <v>0</v>
      </c>
      <c r="K18" s="20">
        <v>141393</v>
      </c>
      <c r="L18" s="20">
        <v>71789</v>
      </c>
      <c r="M18" s="20">
        <v>45129</v>
      </c>
      <c r="N18" s="20">
        <v>170684</v>
      </c>
      <c r="O18" s="20">
        <v>82528</v>
      </c>
      <c r="P18" s="41">
        <v>0</v>
      </c>
      <c r="Q18" s="41">
        <v>0</v>
      </c>
      <c r="R18" s="41">
        <v>11465.900000000001</v>
      </c>
      <c r="S18" s="41">
        <v>5685.77</v>
      </c>
      <c r="T18" s="41">
        <v>3467.96</v>
      </c>
      <c r="U18" s="41">
        <v>1079.9000000000005</v>
      </c>
      <c r="V18" s="41">
        <v>11410.63</v>
      </c>
      <c r="W18" s="41">
        <v>3636.1399999999994</v>
      </c>
    </row>
    <row r="19" spans="1:23" hidden="1" x14ac:dyDescent="0.25">
      <c r="A19" s="18">
        <v>664</v>
      </c>
      <c r="B19" s="19">
        <v>5285</v>
      </c>
      <c r="C19" s="19" t="s">
        <v>40</v>
      </c>
      <c r="D19" s="19" t="s">
        <v>41</v>
      </c>
      <c r="E19" s="19" t="s">
        <v>9</v>
      </c>
      <c r="F19" s="19" t="s">
        <v>10</v>
      </c>
      <c r="G19" s="20" t="str">
        <f>IF(LEN(Table12_52_03[[#This Row],[Ledger Code]])&gt;3,"AR"&amp;Table12_52_03[[#This Row],[Ledger Code]],"TBC")</f>
        <v>AR5285</v>
      </c>
      <c r="H19" s="20">
        <v>0</v>
      </c>
      <c r="I19" s="20">
        <v>0</v>
      </c>
      <c r="J19" s="20">
        <v>0</v>
      </c>
      <c r="K19" s="20">
        <v>0</v>
      </c>
      <c r="L19" s="20">
        <v>0</v>
      </c>
      <c r="M19" s="20">
        <v>0</v>
      </c>
      <c r="N19" s="20">
        <v>0</v>
      </c>
      <c r="O19" s="20">
        <v>0</v>
      </c>
      <c r="P19" s="41">
        <v>0</v>
      </c>
      <c r="Q19" s="41">
        <v>0</v>
      </c>
      <c r="R19" s="41">
        <v>0</v>
      </c>
      <c r="S19" s="41">
        <v>0</v>
      </c>
      <c r="T19" s="41">
        <v>0</v>
      </c>
      <c r="U19" s="41">
        <v>0</v>
      </c>
      <c r="V19" s="41">
        <v>0</v>
      </c>
      <c r="W19" s="41">
        <v>0</v>
      </c>
    </row>
    <row r="20" spans="1:23" hidden="1" x14ac:dyDescent="0.25">
      <c r="A20" s="18">
        <v>726</v>
      </c>
      <c r="B20" s="19">
        <v>5317</v>
      </c>
      <c r="C20" s="19" t="s">
        <v>42</v>
      </c>
      <c r="D20" s="19" t="s">
        <v>43</v>
      </c>
      <c r="E20" s="19" t="s">
        <v>9</v>
      </c>
      <c r="F20" s="19" t="s">
        <v>10</v>
      </c>
      <c r="G20" s="20" t="str">
        <f>IF(LEN(Table12_52_03[[#This Row],[Ledger Code]])&gt;3,"AR"&amp;Table12_52_03[[#This Row],[Ledger Code]],"TBC")</f>
        <v>AR5317</v>
      </c>
      <c r="H20" s="20">
        <v>73783</v>
      </c>
      <c r="I20" s="20">
        <v>0</v>
      </c>
      <c r="J20" s="20">
        <v>0</v>
      </c>
      <c r="K20" s="20">
        <v>0</v>
      </c>
      <c r="L20" s="20">
        <v>17820</v>
      </c>
      <c r="M20" s="20">
        <v>12036</v>
      </c>
      <c r="N20" s="20">
        <v>13737</v>
      </c>
      <c r="O20" s="20">
        <v>31298</v>
      </c>
      <c r="P20" s="41">
        <v>0</v>
      </c>
      <c r="Q20" s="41">
        <v>0</v>
      </c>
      <c r="R20" s="41">
        <v>0</v>
      </c>
      <c r="S20" s="41">
        <v>6112.99</v>
      </c>
      <c r="T20" s="41">
        <v>1076.01</v>
      </c>
      <c r="U20" s="41">
        <v>318.6699999999999</v>
      </c>
      <c r="V20" s="41">
        <v>-827.5</v>
      </c>
      <c r="W20" s="41">
        <v>733.8</v>
      </c>
    </row>
    <row r="21" spans="1:23" hidden="1" x14ac:dyDescent="0.25">
      <c r="A21" s="18">
        <v>758</v>
      </c>
      <c r="B21" s="19">
        <v>5527</v>
      </c>
      <c r="C21" s="19" t="s">
        <v>44</v>
      </c>
      <c r="D21" s="19" t="s">
        <v>45</v>
      </c>
      <c r="E21" s="19" t="s">
        <v>9</v>
      </c>
      <c r="F21" s="19" t="s">
        <v>10</v>
      </c>
      <c r="G21" s="20" t="str">
        <f>IF(LEN(Table12_52_03[[#This Row],[Ledger Code]])&gt;3,"AR"&amp;Table12_52_03[[#This Row],[Ledger Code]],"TBC")</f>
        <v>AR5527</v>
      </c>
      <c r="H21" s="20">
        <v>138369</v>
      </c>
      <c r="I21" s="20">
        <v>30912</v>
      </c>
      <c r="J21" s="20">
        <v>146957</v>
      </c>
      <c r="K21" s="20">
        <v>173356</v>
      </c>
      <c r="L21" s="20">
        <v>56655</v>
      </c>
      <c r="M21" s="20">
        <v>83811</v>
      </c>
      <c r="N21" s="20">
        <v>94539</v>
      </c>
      <c r="O21" s="20">
        <v>188273</v>
      </c>
      <c r="P21" s="41">
        <v>0</v>
      </c>
      <c r="Q21" s="41">
        <v>6145.85</v>
      </c>
      <c r="R21" s="41">
        <v>4482.09</v>
      </c>
      <c r="S21" s="41">
        <v>6494.52</v>
      </c>
      <c r="T21" s="41">
        <v>4254.58</v>
      </c>
      <c r="U21" s="41">
        <v>2195.1999999999994</v>
      </c>
      <c r="V21" s="41">
        <v>8907.65</v>
      </c>
      <c r="W21" s="41">
        <v>4373.18</v>
      </c>
    </row>
    <row r="22" spans="1:23" hidden="1" x14ac:dyDescent="0.25">
      <c r="A22" s="18">
        <v>822</v>
      </c>
      <c r="B22" s="19">
        <v>8141</v>
      </c>
      <c r="C22" s="19" t="s">
        <v>46</v>
      </c>
      <c r="D22" s="19" t="s">
        <v>47</v>
      </c>
      <c r="E22" s="19" t="s">
        <v>26</v>
      </c>
      <c r="F22" s="19" t="s">
        <v>48</v>
      </c>
      <c r="G22" s="20" t="str">
        <f>IF(LEN(Table12_52_03[[#This Row],[Ledger Code]])&gt;3,"AR"&amp;Table12_52_03[[#This Row],[Ledger Code]],"TBC")</f>
        <v>AR8141</v>
      </c>
      <c r="H22" s="20">
        <v>0</v>
      </c>
      <c r="I22" s="20">
        <v>0</v>
      </c>
      <c r="J22" s="20">
        <v>0</v>
      </c>
      <c r="K22" s="20">
        <v>0</v>
      </c>
      <c r="L22" s="20">
        <v>0</v>
      </c>
      <c r="M22" s="20">
        <v>0</v>
      </c>
      <c r="N22" s="20">
        <v>0</v>
      </c>
      <c r="O22" s="20">
        <v>0</v>
      </c>
      <c r="P22" s="41">
        <v>0</v>
      </c>
      <c r="Q22" s="41">
        <v>0</v>
      </c>
      <c r="R22" s="41">
        <v>0</v>
      </c>
      <c r="S22" s="41">
        <v>0</v>
      </c>
      <c r="T22" s="41">
        <v>0</v>
      </c>
      <c r="U22" s="41">
        <v>0</v>
      </c>
      <c r="V22" s="41">
        <v>0</v>
      </c>
      <c r="W22" s="41">
        <v>0</v>
      </c>
    </row>
    <row r="23" spans="1:23" hidden="1" x14ac:dyDescent="0.25">
      <c r="A23" s="18">
        <v>843</v>
      </c>
      <c r="B23" s="19">
        <v>8176</v>
      </c>
      <c r="C23" s="19" t="s">
        <v>49</v>
      </c>
      <c r="D23" s="19" t="s">
        <v>50</v>
      </c>
      <c r="E23" s="19" t="s">
        <v>26</v>
      </c>
      <c r="F23" s="19" t="s">
        <v>48</v>
      </c>
      <c r="G23" s="20" t="str">
        <f>IF(LEN(Table12_52_03[[#This Row],[Ledger Code]])&gt;3,"AR"&amp;Table12_52_03[[#This Row],[Ledger Code]],"TBC")</f>
        <v>AR8176</v>
      </c>
      <c r="H23" s="20">
        <v>0</v>
      </c>
      <c r="I23" s="20">
        <v>0</v>
      </c>
      <c r="J23" s="20">
        <v>0</v>
      </c>
      <c r="K23" s="20">
        <v>0</v>
      </c>
      <c r="L23" s="20">
        <v>0</v>
      </c>
      <c r="M23" s="20">
        <v>0</v>
      </c>
      <c r="N23" s="20">
        <v>0</v>
      </c>
      <c r="O23" s="20">
        <v>0</v>
      </c>
      <c r="P23" s="41">
        <v>0</v>
      </c>
      <c r="Q23" s="41">
        <v>0</v>
      </c>
      <c r="R23" s="41">
        <v>0</v>
      </c>
      <c r="S23" s="41">
        <v>0</v>
      </c>
      <c r="T23" s="41">
        <v>0</v>
      </c>
      <c r="U23" s="41">
        <v>0</v>
      </c>
      <c r="V23" s="41">
        <v>0</v>
      </c>
      <c r="W23" s="41">
        <v>0</v>
      </c>
    </row>
    <row r="24" spans="1:23" hidden="1" x14ac:dyDescent="0.25">
      <c r="A24" s="18">
        <v>881</v>
      </c>
      <c r="B24" s="19">
        <v>8118</v>
      </c>
      <c r="C24" s="19" t="s">
        <v>51</v>
      </c>
      <c r="D24" s="19" t="s">
        <v>52</v>
      </c>
      <c r="E24" s="19" t="s">
        <v>26</v>
      </c>
      <c r="F24" s="19" t="s">
        <v>48</v>
      </c>
      <c r="G24" s="20" t="str">
        <f>IF(LEN(Table12_52_03[[#This Row],[Ledger Code]])&gt;3,"AR"&amp;Table12_52_03[[#This Row],[Ledger Code]],"TBC")</f>
        <v>AR8118</v>
      </c>
      <c r="H24" s="20">
        <v>0</v>
      </c>
      <c r="I24" s="20">
        <v>0</v>
      </c>
      <c r="J24" s="20">
        <v>0</v>
      </c>
      <c r="K24" s="20">
        <v>0</v>
      </c>
      <c r="L24" s="20">
        <v>0</v>
      </c>
      <c r="M24" s="20">
        <v>0</v>
      </c>
      <c r="N24" s="20">
        <v>0</v>
      </c>
      <c r="O24" s="20">
        <v>0</v>
      </c>
      <c r="P24" s="41">
        <v>0</v>
      </c>
      <c r="Q24" s="41">
        <v>-107.11999999999999</v>
      </c>
      <c r="R24" s="41">
        <v>0</v>
      </c>
      <c r="S24" s="41">
        <v>0</v>
      </c>
      <c r="T24" s="41">
        <v>0</v>
      </c>
      <c r="U24" s="41">
        <v>0</v>
      </c>
      <c r="V24" s="41">
        <v>0</v>
      </c>
      <c r="W24" s="41">
        <v>0</v>
      </c>
    </row>
    <row r="25" spans="1:23" hidden="1" x14ac:dyDescent="0.25">
      <c r="A25" s="18">
        <v>913</v>
      </c>
      <c r="B25" s="19">
        <v>8176</v>
      </c>
      <c r="C25" s="19" t="s">
        <v>49</v>
      </c>
      <c r="D25" s="19" t="s">
        <v>50</v>
      </c>
      <c r="E25" s="19" t="s">
        <v>26</v>
      </c>
      <c r="F25" s="19" t="s">
        <v>48</v>
      </c>
      <c r="G25" s="20" t="str">
        <f>IF(LEN(Table12_52_03[[#This Row],[Ledger Code]])&gt;3,"AR"&amp;Table12_52_03[[#This Row],[Ledger Code]],"TBC")</f>
        <v>AR8176</v>
      </c>
      <c r="H25" s="20">
        <v>0</v>
      </c>
      <c r="I25" s="20">
        <v>0</v>
      </c>
      <c r="J25" s="20">
        <v>0</v>
      </c>
      <c r="K25" s="20">
        <v>0</v>
      </c>
      <c r="L25" s="20">
        <v>0</v>
      </c>
      <c r="M25" s="20">
        <v>0</v>
      </c>
      <c r="N25" s="20">
        <v>0</v>
      </c>
      <c r="O25" s="20">
        <v>0</v>
      </c>
      <c r="P25" s="41">
        <v>0</v>
      </c>
      <c r="Q25" s="41">
        <v>0</v>
      </c>
      <c r="R25" s="41">
        <v>0</v>
      </c>
      <c r="S25" s="41">
        <v>0</v>
      </c>
      <c r="T25" s="41">
        <v>0</v>
      </c>
      <c r="U25" s="41">
        <v>0</v>
      </c>
      <c r="V25" s="41">
        <v>0</v>
      </c>
      <c r="W25" s="41">
        <v>0</v>
      </c>
    </row>
    <row r="26" spans="1:23" hidden="1" x14ac:dyDescent="0.25">
      <c r="A26" s="18">
        <v>923</v>
      </c>
      <c r="B26" s="19">
        <v>8181</v>
      </c>
      <c r="C26" s="19" t="s">
        <v>53</v>
      </c>
      <c r="D26" s="19" t="s">
        <v>54</v>
      </c>
      <c r="E26" s="19" t="s">
        <v>26</v>
      </c>
      <c r="F26" s="19" t="s">
        <v>48</v>
      </c>
      <c r="G26" s="20" t="str">
        <f>IF(LEN(Table12_52_03[[#This Row],[Ledger Code]])&gt;3,"AR"&amp;Table12_52_03[[#This Row],[Ledger Code]],"TBC")</f>
        <v>AR8181</v>
      </c>
      <c r="H26" s="20">
        <v>0</v>
      </c>
      <c r="I26" s="20">
        <v>0</v>
      </c>
      <c r="J26" s="20">
        <v>0</v>
      </c>
      <c r="K26" s="20">
        <v>0</v>
      </c>
      <c r="L26" s="20">
        <v>0</v>
      </c>
      <c r="M26" s="20">
        <v>0</v>
      </c>
      <c r="N26" s="20">
        <v>0</v>
      </c>
      <c r="O26" s="20">
        <v>0</v>
      </c>
      <c r="P26" s="41">
        <v>0</v>
      </c>
      <c r="Q26" s="41">
        <v>0</v>
      </c>
      <c r="R26" s="41">
        <v>0</v>
      </c>
      <c r="S26" s="41">
        <v>0</v>
      </c>
      <c r="T26" s="41">
        <v>0</v>
      </c>
      <c r="U26" s="41">
        <v>0</v>
      </c>
      <c r="V26" s="41">
        <v>0</v>
      </c>
      <c r="W26" s="41">
        <v>0</v>
      </c>
    </row>
    <row r="27" spans="1:23" hidden="1" x14ac:dyDescent="0.25">
      <c r="A27" s="18">
        <v>995</v>
      </c>
      <c r="B27" s="19">
        <v>2505</v>
      </c>
      <c r="C27" s="19" t="s">
        <v>55</v>
      </c>
      <c r="D27" s="19" t="s">
        <v>56</v>
      </c>
      <c r="E27" s="19" t="s">
        <v>57</v>
      </c>
      <c r="F27" s="19" t="s">
        <v>58</v>
      </c>
      <c r="G27" s="20" t="str">
        <f>IF(LEN(Table12_52_03[[#This Row],[Ledger Code]])&gt;3,"AR"&amp;Table12_52_03[[#This Row],[Ledger Code]],"TBC")</f>
        <v>AR2505</v>
      </c>
      <c r="H27" s="20">
        <v>0</v>
      </c>
      <c r="I27" s="20">
        <v>0</v>
      </c>
      <c r="J27" s="20">
        <v>0</v>
      </c>
      <c r="K27" s="20">
        <v>0</v>
      </c>
      <c r="L27" s="20">
        <v>0</v>
      </c>
      <c r="M27" s="20">
        <v>0</v>
      </c>
      <c r="N27" s="20">
        <v>0</v>
      </c>
      <c r="O27" s="20">
        <v>0</v>
      </c>
      <c r="P27" s="41">
        <v>0</v>
      </c>
      <c r="Q27" s="41">
        <v>0</v>
      </c>
      <c r="R27" s="41">
        <v>766.73</v>
      </c>
      <c r="S27" s="41">
        <v>-766.72999999999956</v>
      </c>
      <c r="T27" s="41">
        <v>0</v>
      </c>
      <c r="U27" s="41">
        <v>396.19000000000102</v>
      </c>
      <c r="V27" s="41">
        <v>-396.19000000000005</v>
      </c>
      <c r="W27" s="41">
        <v>0</v>
      </c>
    </row>
    <row r="28" spans="1:23" hidden="1" x14ac:dyDescent="0.25">
      <c r="A28" s="18">
        <v>997</v>
      </c>
      <c r="B28" s="19">
        <v>2507</v>
      </c>
      <c r="C28" s="19" t="s">
        <v>59</v>
      </c>
      <c r="D28" s="19" t="s">
        <v>60</v>
      </c>
      <c r="E28" s="19" t="s">
        <v>57</v>
      </c>
      <c r="F28" s="19" t="s">
        <v>58</v>
      </c>
      <c r="G28" s="20" t="str">
        <f>IF(LEN(Table12_52_03[[#This Row],[Ledger Code]])&gt;3,"AR"&amp;Table12_52_03[[#This Row],[Ledger Code]],"TBC")</f>
        <v>AR2507</v>
      </c>
      <c r="H28" s="20">
        <v>0</v>
      </c>
      <c r="I28" s="20">
        <v>0</v>
      </c>
      <c r="J28" s="20">
        <v>0</v>
      </c>
      <c r="K28" s="20">
        <v>0</v>
      </c>
      <c r="L28" s="20">
        <v>0</v>
      </c>
      <c r="M28" s="20">
        <v>0</v>
      </c>
      <c r="N28" s="20">
        <v>0</v>
      </c>
      <c r="O28" s="20">
        <v>0</v>
      </c>
      <c r="P28" s="41">
        <v>0</v>
      </c>
      <c r="Q28" s="41">
        <v>0</v>
      </c>
      <c r="R28" s="41">
        <v>0</v>
      </c>
      <c r="S28" s="41">
        <v>0</v>
      </c>
      <c r="T28" s="41">
        <v>0</v>
      </c>
      <c r="U28" s="41">
        <v>28.449999999999818</v>
      </c>
      <c r="V28" s="41">
        <v>759.74</v>
      </c>
      <c r="W28" s="41">
        <v>61.8</v>
      </c>
    </row>
    <row r="29" spans="1:23" hidden="1" x14ac:dyDescent="0.25">
      <c r="A29" s="18">
        <v>1038</v>
      </c>
      <c r="B29" s="19">
        <v>2586</v>
      </c>
      <c r="C29" s="19" t="s">
        <v>61</v>
      </c>
      <c r="D29" s="19" t="s">
        <v>62</v>
      </c>
      <c r="E29" s="19" t="s">
        <v>57</v>
      </c>
      <c r="F29" s="19" t="s">
        <v>58</v>
      </c>
      <c r="G29" s="20" t="str">
        <f>IF(LEN(Table12_52_03[[#This Row],[Ledger Code]])&gt;3,"AR"&amp;Table12_52_03[[#This Row],[Ledger Code]],"TBC")</f>
        <v>AR2586</v>
      </c>
      <c r="H29" s="20">
        <v>0</v>
      </c>
      <c r="I29" s="20">
        <v>0</v>
      </c>
      <c r="J29" s="20">
        <v>0</v>
      </c>
      <c r="K29" s="20">
        <v>0</v>
      </c>
      <c r="L29" s="20">
        <v>0</v>
      </c>
      <c r="M29" s="20">
        <v>0</v>
      </c>
      <c r="N29" s="20">
        <v>0</v>
      </c>
      <c r="O29" s="20">
        <v>0</v>
      </c>
      <c r="P29" s="41">
        <v>0</v>
      </c>
      <c r="Q29" s="41">
        <v>0</v>
      </c>
      <c r="R29" s="41">
        <v>0</v>
      </c>
      <c r="S29" s="41">
        <v>0</v>
      </c>
      <c r="T29" s="41">
        <v>0</v>
      </c>
      <c r="U29" s="41">
        <v>0</v>
      </c>
      <c r="V29" s="41">
        <v>0</v>
      </c>
      <c r="W29" s="41">
        <v>0</v>
      </c>
    </row>
    <row r="30" spans="1:23" x14ac:dyDescent="0.25">
      <c r="A30" s="18">
        <v>1046</v>
      </c>
      <c r="B30" s="19">
        <v>2574</v>
      </c>
      <c r="C30" s="19" t="s">
        <v>63</v>
      </c>
      <c r="D30" s="19" t="s">
        <v>64</v>
      </c>
      <c r="E30" s="19" t="s">
        <v>57</v>
      </c>
      <c r="F30" s="19" t="s">
        <v>58</v>
      </c>
      <c r="G30" s="20" t="str">
        <f>IF(LEN(Table12_52_03[[#This Row],[Ledger Code]])&gt;3,"AR"&amp;Table12_52_03[[#This Row],[Ledger Code]],"TBC")</f>
        <v>AR2574</v>
      </c>
      <c r="H30" s="20">
        <v>0</v>
      </c>
      <c r="I30" s="20">
        <v>0</v>
      </c>
      <c r="J30" s="20">
        <v>0</v>
      </c>
      <c r="K30" s="20">
        <v>0</v>
      </c>
      <c r="L30" s="20">
        <v>0</v>
      </c>
      <c r="M30" s="20">
        <v>0</v>
      </c>
      <c r="N30" s="20">
        <v>0</v>
      </c>
      <c r="O30" s="20">
        <v>0</v>
      </c>
      <c r="P30" s="41">
        <v>0</v>
      </c>
      <c r="Q30" s="41">
        <v>0</v>
      </c>
      <c r="R30" s="41">
        <v>0</v>
      </c>
      <c r="S30" s="41">
        <v>35514</v>
      </c>
      <c r="T30" s="41">
        <v>0</v>
      </c>
      <c r="U30" s="41">
        <v>0</v>
      </c>
      <c r="V30" s="41">
        <v>0</v>
      </c>
      <c r="W30" s="41">
        <v>35514</v>
      </c>
    </row>
    <row r="31" spans="1:23" hidden="1" x14ac:dyDescent="0.25">
      <c r="A31" s="18">
        <v>1049</v>
      </c>
      <c r="B31" s="19">
        <v>2586</v>
      </c>
      <c r="C31" s="19" t="s">
        <v>65</v>
      </c>
      <c r="D31" s="19" t="s">
        <v>62</v>
      </c>
      <c r="E31" s="19" t="s">
        <v>57</v>
      </c>
      <c r="F31" s="19" t="s">
        <v>58</v>
      </c>
      <c r="G31" s="20" t="str">
        <f>IF(LEN(Table12_52_03[[#This Row],[Ledger Code]])&gt;3,"AR"&amp;Table12_52_03[[#This Row],[Ledger Code]],"TBC")</f>
        <v>AR2586</v>
      </c>
      <c r="H31" s="20">
        <v>0</v>
      </c>
      <c r="I31" s="20">
        <v>0</v>
      </c>
      <c r="J31" s="20">
        <v>0</v>
      </c>
      <c r="K31" s="20">
        <v>0</v>
      </c>
      <c r="L31" s="20">
        <v>0</v>
      </c>
      <c r="M31" s="20">
        <v>0</v>
      </c>
      <c r="N31" s="20">
        <v>0</v>
      </c>
      <c r="O31" s="20">
        <v>0</v>
      </c>
      <c r="P31" s="41">
        <v>0</v>
      </c>
      <c r="Q31" s="41">
        <v>0</v>
      </c>
      <c r="R31" s="41">
        <v>0</v>
      </c>
      <c r="S31" s="41">
        <v>0</v>
      </c>
      <c r="T31" s="41">
        <v>0</v>
      </c>
      <c r="U31" s="41">
        <v>0</v>
      </c>
      <c r="V31" s="41">
        <v>0</v>
      </c>
      <c r="W31" s="41">
        <v>0</v>
      </c>
    </row>
    <row r="32" spans="1:23" hidden="1" x14ac:dyDescent="0.25">
      <c r="A32" s="18">
        <v>1070</v>
      </c>
      <c r="B32" s="19">
        <v>2625</v>
      </c>
      <c r="C32" s="19" t="s">
        <v>66</v>
      </c>
      <c r="D32" s="19" t="s">
        <v>67</v>
      </c>
      <c r="E32" s="19" t="s">
        <v>57</v>
      </c>
      <c r="F32" s="19" t="s">
        <v>58</v>
      </c>
      <c r="G32" s="20" t="str">
        <f>IF(LEN(Table12_52_03[[#This Row],[Ledger Code]])&gt;3,"AR"&amp;Table12_52_03[[#This Row],[Ledger Code]],"TBC")</f>
        <v>AR2625</v>
      </c>
      <c r="H32" s="20">
        <v>0</v>
      </c>
      <c r="I32" s="20">
        <v>0</v>
      </c>
      <c r="J32" s="20">
        <v>80737</v>
      </c>
      <c r="K32" s="20">
        <v>172561</v>
      </c>
      <c r="L32" s="20">
        <v>93799</v>
      </c>
      <c r="M32" s="20">
        <v>31274</v>
      </c>
      <c r="N32" s="20">
        <v>74736</v>
      </c>
      <c r="O32" s="20">
        <v>186353</v>
      </c>
      <c r="P32" s="41">
        <v>0</v>
      </c>
      <c r="Q32" s="41">
        <v>0</v>
      </c>
      <c r="R32" s="41">
        <v>3378.3000000000011</v>
      </c>
      <c r="S32" s="41">
        <v>6314.4500000000007</v>
      </c>
      <c r="T32" s="41">
        <v>3831.5</v>
      </c>
      <c r="U32" s="41">
        <v>1540.54</v>
      </c>
      <c r="V32" s="41">
        <v>3274.0699999999997</v>
      </c>
      <c r="W32" s="41">
        <v>4443.6000000000004</v>
      </c>
    </row>
    <row r="33" spans="1:23" hidden="1" x14ac:dyDescent="0.25">
      <c r="A33" s="18">
        <v>1102</v>
      </c>
      <c r="B33" s="19">
        <v>2930</v>
      </c>
      <c r="C33" s="19" t="s">
        <v>68</v>
      </c>
      <c r="D33" s="19" t="s">
        <v>69</v>
      </c>
      <c r="E33" s="19" t="s">
        <v>57</v>
      </c>
      <c r="F33" s="19" t="s">
        <v>70</v>
      </c>
      <c r="G33" s="20" t="str">
        <f>IF(LEN(Table12_52_03[[#This Row],[Ledger Code]])&gt;3,"AR"&amp;Table12_52_03[[#This Row],[Ledger Code]],"TBC")</f>
        <v>AR2930</v>
      </c>
      <c r="H33" s="20">
        <v>0</v>
      </c>
      <c r="I33" s="20">
        <v>0</v>
      </c>
      <c r="J33" s="20">
        <v>0</v>
      </c>
      <c r="K33" s="20">
        <v>0</v>
      </c>
      <c r="L33" s="20">
        <v>0</v>
      </c>
      <c r="M33" s="20">
        <v>0</v>
      </c>
      <c r="N33" s="20">
        <v>0</v>
      </c>
      <c r="O33" s="20">
        <v>0</v>
      </c>
      <c r="P33" s="41">
        <v>0</v>
      </c>
      <c r="Q33" s="41">
        <v>0</v>
      </c>
      <c r="R33" s="41">
        <v>0</v>
      </c>
      <c r="S33" s="41">
        <v>0</v>
      </c>
      <c r="T33" s="41">
        <v>0</v>
      </c>
      <c r="U33" s="41">
        <v>0</v>
      </c>
      <c r="V33" s="41">
        <v>0</v>
      </c>
      <c r="W33" s="41">
        <v>64292</v>
      </c>
    </row>
    <row r="34" spans="1:23" hidden="1" x14ac:dyDescent="0.25">
      <c r="A34" s="18">
        <v>1109</v>
      </c>
      <c r="B34" s="19">
        <v>2698</v>
      </c>
      <c r="C34" s="19" t="s">
        <v>71</v>
      </c>
      <c r="D34" s="19" t="s">
        <v>72</v>
      </c>
      <c r="E34" s="19" t="s">
        <v>57</v>
      </c>
      <c r="F34" s="19" t="s">
        <v>70</v>
      </c>
      <c r="G34" s="20" t="str">
        <f>IF(LEN(Table12_52_03[[#This Row],[Ledger Code]])&gt;3,"AR"&amp;Table12_52_03[[#This Row],[Ledger Code]],"TBC")</f>
        <v>AR2698</v>
      </c>
      <c r="H34" s="20">
        <v>0</v>
      </c>
      <c r="I34" s="20">
        <v>0</v>
      </c>
      <c r="J34" s="20">
        <v>0</v>
      </c>
      <c r="K34" s="20">
        <v>0</v>
      </c>
      <c r="L34" s="20">
        <v>-841</v>
      </c>
      <c r="M34" s="20">
        <v>6566</v>
      </c>
      <c r="N34" s="20">
        <v>70157</v>
      </c>
      <c r="O34" s="20">
        <v>65238</v>
      </c>
      <c r="P34" s="41">
        <v>0</v>
      </c>
      <c r="Q34" s="41">
        <v>0</v>
      </c>
      <c r="R34" s="41">
        <v>1052.6399999999994</v>
      </c>
      <c r="S34" s="41">
        <v>1270.2</v>
      </c>
      <c r="T34" s="41">
        <v>0</v>
      </c>
      <c r="U34" s="41">
        <v>530.79999999999995</v>
      </c>
      <c r="V34" s="41">
        <v>7229.6000000000013</v>
      </c>
      <c r="W34" s="41">
        <v>1597.65</v>
      </c>
    </row>
    <row r="35" spans="1:23" hidden="1" x14ac:dyDescent="0.25">
      <c r="A35" s="18">
        <v>1112</v>
      </c>
      <c r="B35" s="19">
        <v>2701</v>
      </c>
      <c r="C35" s="19" t="s">
        <v>73</v>
      </c>
      <c r="D35" s="19" t="s">
        <v>74</v>
      </c>
      <c r="E35" s="19" t="s">
        <v>57</v>
      </c>
      <c r="F35" s="19" t="s">
        <v>70</v>
      </c>
      <c r="G35" s="20" t="str">
        <f>IF(LEN(Table12_52_03[[#This Row],[Ledger Code]])&gt;3,"AR"&amp;Table12_52_03[[#This Row],[Ledger Code]],"TBC")</f>
        <v>AR2701</v>
      </c>
      <c r="H35" s="20">
        <v>0</v>
      </c>
      <c r="I35" s="20">
        <v>0</v>
      </c>
      <c r="J35" s="20">
        <v>0</v>
      </c>
      <c r="K35" s="20">
        <v>0</v>
      </c>
      <c r="L35" s="20">
        <v>0</v>
      </c>
      <c r="M35" s="20">
        <v>0</v>
      </c>
      <c r="N35" s="20">
        <v>0</v>
      </c>
      <c r="O35" s="20">
        <v>0</v>
      </c>
      <c r="P35" s="41">
        <v>0</v>
      </c>
      <c r="Q35" s="41">
        <v>0</v>
      </c>
      <c r="R35" s="41">
        <v>0</v>
      </c>
      <c r="S35" s="41">
        <v>0</v>
      </c>
      <c r="T35" s="41">
        <v>0</v>
      </c>
      <c r="U35" s="41">
        <v>0</v>
      </c>
      <c r="V35" s="41">
        <v>0</v>
      </c>
      <c r="W35" s="41">
        <v>0</v>
      </c>
    </row>
    <row r="36" spans="1:23" hidden="1" x14ac:dyDescent="0.25">
      <c r="A36" s="18">
        <v>1142</v>
      </c>
      <c r="B36" s="19">
        <v>2729</v>
      </c>
      <c r="C36" s="19" t="s">
        <v>75</v>
      </c>
      <c r="D36" s="19" t="s">
        <v>76</v>
      </c>
      <c r="E36" s="19" t="s">
        <v>57</v>
      </c>
      <c r="F36" s="19" t="s">
        <v>70</v>
      </c>
      <c r="G36" s="20" t="str">
        <f>IF(LEN(Table12_52_03[[#This Row],[Ledger Code]])&gt;3,"AR"&amp;Table12_52_03[[#This Row],[Ledger Code]],"TBC")</f>
        <v>AR2729</v>
      </c>
      <c r="H36" s="20">
        <v>0</v>
      </c>
      <c r="I36" s="20">
        <v>0</v>
      </c>
      <c r="J36" s="20">
        <v>0</v>
      </c>
      <c r="K36" s="20">
        <v>0</v>
      </c>
      <c r="L36" s="20">
        <v>0</v>
      </c>
      <c r="M36" s="20">
        <v>0</v>
      </c>
      <c r="N36" s="20">
        <v>0</v>
      </c>
      <c r="O36" s="20">
        <v>0</v>
      </c>
      <c r="P36" s="41">
        <v>343.91</v>
      </c>
      <c r="Q36" s="41">
        <v>73.689999999999927</v>
      </c>
      <c r="R36" s="41">
        <v>333.70000000000044</v>
      </c>
      <c r="S36" s="41">
        <v>184.26999999999998</v>
      </c>
      <c r="T36" s="41">
        <v>63.47</v>
      </c>
      <c r="U36" s="41">
        <v>285.68</v>
      </c>
      <c r="V36" s="41">
        <v>275.43</v>
      </c>
      <c r="W36" s="41">
        <v>134.76</v>
      </c>
    </row>
    <row r="37" spans="1:23" hidden="1" x14ac:dyDescent="0.25">
      <c r="A37" s="18">
        <v>1194</v>
      </c>
      <c r="B37" s="19">
        <v>2673</v>
      </c>
      <c r="C37" s="19" t="s">
        <v>77</v>
      </c>
      <c r="D37" s="19" t="s">
        <v>78</v>
      </c>
      <c r="E37" s="19" t="s">
        <v>57</v>
      </c>
      <c r="F37" s="19" t="s">
        <v>70</v>
      </c>
      <c r="G37" s="20" t="str">
        <f>IF(LEN(Table12_52_03[[#This Row],[Ledger Code]])&gt;3,"AR"&amp;Table12_52_03[[#This Row],[Ledger Code]],"TBC")</f>
        <v>AR2673</v>
      </c>
      <c r="H37" s="20">
        <v>22178</v>
      </c>
      <c r="I37" s="20">
        <v>9591</v>
      </c>
      <c r="J37" s="20">
        <v>35357</v>
      </c>
      <c r="K37" s="20">
        <v>57671</v>
      </c>
      <c r="L37" s="20">
        <v>35822</v>
      </c>
      <c r="M37" s="20">
        <v>862</v>
      </c>
      <c r="N37" s="20">
        <v>30461</v>
      </c>
      <c r="O37" s="20">
        <v>62675</v>
      </c>
      <c r="P37" s="41">
        <v>0</v>
      </c>
      <c r="Q37" s="41">
        <v>1603.02</v>
      </c>
      <c r="R37" s="41">
        <v>1513.8400000000001</v>
      </c>
      <c r="S37" s="41">
        <v>127.10000000000025</v>
      </c>
      <c r="T37" s="41">
        <v>3606.0099999999998</v>
      </c>
      <c r="U37" s="41">
        <v>543.78000000000009</v>
      </c>
      <c r="V37" s="41">
        <v>1358.6200000000001</v>
      </c>
      <c r="W37" s="41">
        <v>1558.71</v>
      </c>
    </row>
    <row r="38" spans="1:23" hidden="1" x14ac:dyDescent="0.25">
      <c r="A38" s="18">
        <v>1294</v>
      </c>
      <c r="B38" s="19">
        <v>2929</v>
      </c>
      <c r="C38" s="19" t="s">
        <v>79</v>
      </c>
      <c r="D38" s="19" t="s">
        <v>80</v>
      </c>
      <c r="E38" s="19" t="s">
        <v>57</v>
      </c>
      <c r="F38" s="19" t="s">
        <v>70</v>
      </c>
      <c r="G38" s="20" t="str">
        <f>IF(LEN(Table12_52_03[[#This Row],[Ledger Code]])&gt;3,"AR"&amp;Table12_52_03[[#This Row],[Ledger Code]],"TBC")</f>
        <v>AR2929</v>
      </c>
      <c r="H38" s="20">
        <v>0</v>
      </c>
      <c r="I38" s="20">
        <v>0</v>
      </c>
      <c r="J38" s="20">
        <v>0</v>
      </c>
      <c r="K38" s="20">
        <v>0</v>
      </c>
      <c r="L38" s="20">
        <v>0</v>
      </c>
      <c r="M38" s="20">
        <v>0</v>
      </c>
      <c r="N38" s="20">
        <v>0</v>
      </c>
      <c r="O38" s="20">
        <v>0</v>
      </c>
      <c r="P38" s="41">
        <v>0</v>
      </c>
      <c r="Q38" s="41">
        <v>0</v>
      </c>
      <c r="R38" s="41">
        <v>0</v>
      </c>
      <c r="S38" s="41">
        <v>4526.58</v>
      </c>
      <c r="T38" s="41">
        <v>5167.1899999999996</v>
      </c>
      <c r="U38" s="41">
        <v>3958.9799999999996</v>
      </c>
      <c r="V38" s="41">
        <v>1573.1999999999985</v>
      </c>
      <c r="W38" s="41">
        <v>5720.6000000000013</v>
      </c>
    </row>
    <row r="39" spans="1:23" hidden="1" x14ac:dyDescent="0.25">
      <c r="A39" s="18">
        <v>1356</v>
      </c>
      <c r="B39" s="19">
        <v>5608</v>
      </c>
      <c r="C39" s="19" t="s">
        <v>81</v>
      </c>
      <c r="D39" s="19" t="s">
        <v>82</v>
      </c>
      <c r="E39" s="19" t="s">
        <v>9</v>
      </c>
      <c r="F39" s="19" t="s">
        <v>83</v>
      </c>
      <c r="G39" s="20" t="str">
        <f>IF(LEN(Table12_52_03[[#This Row],[Ledger Code]])&gt;3,"AR"&amp;Table12_52_03[[#This Row],[Ledger Code]],"TBC")</f>
        <v>AR5608</v>
      </c>
      <c r="H39" s="20">
        <v>0</v>
      </c>
      <c r="I39" s="20">
        <v>0</v>
      </c>
      <c r="J39" s="20">
        <v>0</v>
      </c>
      <c r="K39" s="20">
        <v>0</v>
      </c>
      <c r="L39" s="20">
        <v>0</v>
      </c>
      <c r="M39" s="20">
        <v>0</v>
      </c>
      <c r="N39" s="20">
        <v>0</v>
      </c>
      <c r="O39" s="20">
        <v>0</v>
      </c>
      <c r="P39" s="41">
        <v>0</v>
      </c>
      <c r="Q39" s="41">
        <v>0</v>
      </c>
      <c r="R39" s="41">
        <v>0</v>
      </c>
      <c r="S39" s="41">
        <v>0</v>
      </c>
      <c r="T39" s="41">
        <v>0</v>
      </c>
      <c r="U39" s="41">
        <v>0</v>
      </c>
      <c r="V39" s="41">
        <v>0</v>
      </c>
      <c r="W39" s="41">
        <v>0</v>
      </c>
    </row>
    <row r="40" spans="1:23" hidden="1" x14ac:dyDescent="0.25">
      <c r="A40" s="18">
        <v>1386</v>
      </c>
      <c r="B40" s="19">
        <v>5638</v>
      </c>
      <c r="C40" s="19" t="s">
        <v>84</v>
      </c>
      <c r="D40" s="19" t="s">
        <v>85</v>
      </c>
      <c r="E40" s="19" t="s">
        <v>9</v>
      </c>
      <c r="F40" s="19" t="s">
        <v>83</v>
      </c>
      <c r="G40" s="20" t="str">
        <f>IF(LEN(Table12_52_03[[#This Row],[Ledger Code]])&gt;3,"AR"&amp;Table12_52_03[[#This Row],[Ledger Code]],"TBC")</f>
        <v>AR5638</v>
      </c>
      <c r="H40" s="20">
        <v>59464</v>
      </c>
      <c r="I40" s="20">
        <v>25063</v>
      </c>
      <c r="J40" s="20">
        <v>101385</v>
      </c>
      <c r="K40" s="20">
        <v>131560</v>
      </c>
      <c r="L40" s="20">
        <v>63233</v>
      </c>
      <c r="M40" s="20">
        <v>41321</v>
      </c>
      <c r="N40" s="20">
        <v>93877</v>
      </c>
      <c r="O40" s="20">
        <v>88672</v>
      </c>
      <c r="P40" s="41">
        <v>0</v>
      </c>
      <c r="Q40" s="41">
        <v>3176.3900000000003</v>
      </c>
      <c r="R40" s="41">
        <v>2942.4799999999923</v>
      </c>
      <c r="S40" s="41">
        <v>4880.6400000000003</v>
      </c>
      <c r="T40" s="41">
        <v>3410.4599999999996</v>
      </c>
      <c r="U40" s="41">
        <v>1734.2399999999993</v>
      </c>
      <c r="V40" s="41">
        <v>2820.66</v>
      </c>
      <c r="W40" s="41">
        <v>3121.4700000000003</v>
      </c>
    </row>
    <row r="41" spans="1:23" hidden="1" x14ac:dyDescent="0.25">
      <c r="A41" s="18">
        <v>1424</v>
      </c>
      <c r="B41" s="19">
        <v>5652</v>
      </c>
      <c r="C41" s="19" t="s">
        <v>86</v>
      </c>
      <c r="D41" s="19" t="s">
        <v>87</v>
      </c>
      <c r="E41" s="19" t="s">
        <v>9</v>
      </c>
      <c r="F41" s="19" t="s">
        <v>83</v>
      </c>
      <c r="G41" s="20" t="str">
        <f>IF(LEN(Table12_52_03[[#This Row],[Ledger Code]])&gt;3,"AR"&amp;Table12_52_03[[#This Row],[Ledger Code]],"TBC")</f>
        <v>AR5652</v>
      </c>
      <c r="H41" s="20">
        <v>0</v>
      </c>
      <c r="I41" s="20">
        <v>0</v>
      </c>
      <c r="J41" s="20">
        <v>0</v>
      </c>
      <c r="K41" s="20">
        <v>0</v>
      </c>
      <c r="L41" s="20">
        <v>0</v>
      </c>
      <c r="M41" s="20">
        <v>0</v>
      </c>
      <c r="N41" s="20">
        <v>0</v>
      </c>
      <c r="O41" s="20">
        <v>0</v>
      </c>
      <c r="P41" s="41">
        <v>3528.84</v>
      </c>
      <c r="Q41" s="41">
        <v>1619.9200000000003</v>
      </c>
      <c r="R41" s="41">
        <v>2424.21</v>
      </c>
      <c r="S41" s="41">
        <v>1048.1299999999999</v>
      </c>
      <c r="T41" s="41">
        <v>925.45</v>
      </c>
      <c r="U41" s="41">
        <v>2631.26</v>
      </c>
      <c r="V41" s="41">
        <v>1028.2700000000002</v>
      </c>
      <c r="W41" s="41">
        <v>2137.9899999999998</v>
      </c>
    </row>
    <row r="42" spans="1:23" hidden="1" x14ac:dyDescent="0.25">
      <c r="A42" s="18">
        <v>1584</v>
      </c>
      <c r="B42" s="19">
        <v>8304</v>
      </c>
      <c r="C42" s="19" t="s">
        <v>88</v>
      </c>
      <c r="D42" s="19" t="s">
        <v>89</v>
      </c>
      <c r="E42" s="19" t="s">
        <v>26</v>
      </c>
      <c r="F42" s="19" t="s">
        <v>48</v>
      </c>
      <c r="G42" s="20" t="str">
        <f>IF(LEN(Table12_52_03[[#This Row],[Ledger Code]])&gt;3,"AR"&amp;Table12_52_03[[#This Row],[Ledger Code]],"TBC")</f>
        <v>AR8304</v>
      </c>
      <c r="H42" s="20">
        <v>0</v>
      </c>
      <c r="I42" s="20">
        <v>0</v>
      </c>
      <c r="J42" s="20">
        <v>0</v>
      </c>
      <c r="K42" s="20">
        <v>0</v>
      </c>
      <c r="L42" s="20">
        <v>0</v>
      </c>
      <c r="M42" s="20">
        <v>0</v>
      </c>
      <c r="N42" s="20">
        <v>0</v>
      </c>
      <c r="O42" s="20">
        <v>0</v>
      </c>
      <c r="P42" s="41">
        <v>0</v>
      </c>
      <c r="Q42" s="41">
        <v>0</v>
      </c>
      <c r="R42" s="41">
        <v>0</v>
      </c>
      <c r="S42" s="41">
        <v>0</v>
      </c>
      <c r="T42" s="41">
        <v>0</v>
      </c>
      <c r="U42" s="41">
        <v>0</v>
      </c>
      <c r="V42" s="41">
        <v>0</v>
      </c>
      <c r="W42" s="41">
        <v>0</v>
      </c>
    </row>
    <row r="43" spans="1:23" hidden="1" x14ac:dyDescent="0.25">
      <c r="A43" s="18">
        <v>1592</v>
      </c>
      <c r="B43" s="19">
        <v>8311</v>
      </c>
      <c r="C43" s="19" t="s">
        <v>90</v>
      </c>
      <c r="D43" s="19" t="s">
        <v>91</v>
      </c>
      <c r="E43" s="19" t="s">
        <v>26</v>
      </c>
      <c r="F43" s="19" t="s">
        <v>48</v>
      </c>
      <c r="G43" s="20" t="str">
        <f>IF(LEN(Table12_52_03[[#This Row],[Ledger Code]])&gt;3,"AR"&amp;Table12_52_03[[#This Row],[Ledger Code]],"TBC")</f>
        <v>AR8311</v>
      </c>
      <c r="H43" s="20">
        <v>0</v>
      </c>
      <c r="I43" s="20">
        <v>0</v>
      </c>
      <c r="J43" s="20">
        <v>0</v>
      </c>
      <c r="K43" s="20">
        <v>0</v>
      </c>
      <c r="L43" s="20">
        <v>0</v>
      </c>
      <c r="M43" s="20">
        <v>0</v>
      </c>
      <c r="N43" s="20">
        <v>0</v>
      </c>
      <c r="O43" s="20">
        <v>0</v>
      </c>
      <c r="P43" s="41">
        <v>786.04</v>
      </c>
      <c r="Q43" s="41">
        <v>330.28</v>
      </c>
      <c r="R43" s="41">
        <v>821.63999999999987</v>
      </c>
      <c r="S43" s="41">
        <v>1851.56</v>
      </c>
      <c r="T43" s="41">
        <v>2297.5500000000002</v>
      </c>
      <c r="U43" s="41">
        <v>789.31999999999994</v>
      </c>
      <c r="V43" s="41">
        <v>819.38</v>
      </c>
      <c r="W43" s="41"/>
    </row>
    <row r="44" spans="1:23" hidden="1" x14ac:dyDescent="0.25">
      <c r="A44" s="18">
        <v>1733</v>
      </c>
      <c r="B44" s="19">
        <v>2965</v>
      </c>
      <c r="C44" s="19" t="s">
        <v>92</v>
      </c>
      <c r="D44" s="19" t="s">
        <v>93</v>
      </c>
      <c r="E44" s="19" t="s">
        <v>57</v>
      </c>
      <c r="F44" s="19" t="s">
        <v>70</v>
      </c>
      <c r="G44" s="20" t="str">
        <f>IF(LEN(Table12_52_03[[#This Row],[Ledger Code]])&gt;3,"AR"&amp;Table12_52_03[[#This Row],[Ledger Code]],"TBC")</f>
        <v>AR2965</v>
      </c>
      <c r="H44" s="114">
        <v>1E-4</v>
      </c>
      <c r="I44" s="114">
        <v>1E-4</v>
      </c>
      <c r="J44" s="114">
        <v>-1E-4</v>
      </c>
      <c r="K44" s="114">
        <v>-1E-4</v>
      </c>
      <c r="L44" s="114">
        <v>51225.777777777774</v>
      </c>
      <c r="M44" s="114">
        <v>18829.055555555555</v>
      </c>
      <c r="N44" s="114">
        <v>147912.19444444444</v>
      </c>
      <c r="O44" s="114">
        <v>133202.69444444444</v>
      </c>
      <c r="P44" s="41">
        <v>5135.75</v>
      </c>
      <c r="Q44" s="41">
        <v>5135.75</v>
      </c>
      <c r="R44" s="41">
        <v>5135.75</v>
      </c>
      <c r="S44" s="41">
        <v>5135.75</v>
      </c>
      <c r="T44" s="41">
        <v>0</v>
      </c>
      <c r="U44" s="41">
        <v>0</v>
      </c>
      <c r="V44" s="41">
        <v>0</v>
      </c>
      <c r="W44" s="41">
        <v>0</v>
      </c>
    </row>
    <row r="45" spans="1:23" hidden="1" x14ac:dyDescent="0.25">
      <c r="A45" s="18">
        <v>1812</v>
      </c>
      <c r="B45" s="19">
        <v>3115</v>
      </c>
      <c r="C45" s="19" t="s">
        <v>337</v>
      </c>
      <c r="D45" s="19" t="s">
        <v>338</v>
      </c>
      <c r="E45" s="19" t="s">
        <v>57</v>
      </c>
      <c r="F45" s="19" t="s">
        <v>70</v>
      </c>
      <c r="G45" s="20" t="str">
        <f>IF(LEN(Table12_52_03[[#This Row],[Ledger Code]])&gt;3,"AR"&amp;Table12_52_03[[#This Row],[Ledger Code]],"TBC")</f>
        <v>AR3115</v>
      </c>
      <c r="H45" s="20">
        <v>14650</v>
      </c>
      <c r="I45" s="20">
        <v>975</v>
      </c>
      <c r="J45" s="20">
        <v>9370</v>
      </c>
      <c r="K45" s="20">
        <v>5430</v>
      </c>
      <c r="L45" s="20">
        <v>12134</v>
      </c>
      <c r="M45" s="20">
        <v>0</v>
      </c>
      <c r="N45" s="20">
        <v>0</v>
      </c>
      <c r="O45" s="20">
        <v>0</v>
      </c>
      <c r="P45" s="41">
        <v>0</v>
      </c>
      <c r="Q45" s="41">
        <v>581.64</v>
      </c>
      <c r="R45" s="41">
        <v>189.49</v>
      </c>
      <c r="S45" s="41">
        <v>354.56</v>
      </c>
      <c r="T45" s="41">
        <v>184.69</v>
      </c>
      <c r="U45" s="41">
        <v>397.81000000000006</v>
      </c>
      <c r="V45" s="41">
        <v>2365.7199999999998</v>
      </c>
      <c r="W45" s="41">
        <v>-1797.0900000000001</v>
      </c>
    </row>
    <row r="46" spans="1:23" hidden="1" x14ac:dyDescent="0.25">
      <c r="A46" s="18">
        <v>1855</v>
      </c>
      <c r="B46" s="19">
        <v>3075</v>
      </c>
      <c r="C46" s="19" t="s">
        <v>94</v>
      </c>
      <c r="D46" s="19" t="s">
        <v>95</v>
      </c>
      <c r="E46" s="19" t="s">
        <v>57</v>
      </c>
      <c r="F46" s="19" t="s">
        <v>70</v>
      </c>
      <c r="G46" s="20" t="str">
        <f>IF(LEN(Table12_52_03[[#This Row],[Ledger Code]])&gt;3,"AR"&amp;Table12_52_03[[#This Row],[Ledger Code]],"TBC")</f>
        <v>AR3075</v>
      </c>
      <c r="H46" s="20">
        <v>29989</v>
      </c>
      <c r="I46" s="20">
        <v>3449</v>
      </c>
      <c r="J46" s="20">
        <v>30127</v>
      </c>
      <c r="K46" s="20">
        <v>23068</v>
      </c>
      <c r="L46" s="20">
        <v>30418</v>
      </c>
      <c r="M46" s="20">
        <v>6998</v>
      </c>
      <c r="N46" s="20">
        <v>28183</v>
      </c>
      <c r="O46" s="20">
        <v>25032</v>
      </c>
      <c r="P46" s="41">
        <v>0</v>
      </c>
      <c r="Q46" s="41">
        <v>1363.1000000000001</v>
      </c>
      <c r="R46" s="41">
        <v>840.37</v>
      </c>
      <c r="S46" s="41">
        <v>1220.08</v>
      </c>
      <c r="T46" s="41">
        <v>853.72</v>
      </c>
      <c r="U46" s="41">
        <v>532.9</v>
      </c>
      <c r="V46" s="41">
        <v>715.29</v>
      </c>
      <c r="W46" s="41">
        <v>825.08999999999992</v>
      </c>
    </row>
    <row r="47" spans="1:23" hidden="1" x14ac:dyDescent="0.25">
      <c r="A47" s="18">
        <v>1984</v>
      </c>
      <c r="B47" s="19">
        <v>5902</v>
      </c>
      <c r="C47" s="19" t="s">
        <v>96</v>
      </c>
      <c r="D47" s="19" t="s">
        <v>97</v>
      </c>
      <c r="E47" s="19" t="s">
        <v>9</v>
      </c>
      <c r="F47" s="19" t="s">
        <v>98</v>
      </c>
      <c r="G47" s="20" t="str">
        <f>IF(LEN(Table12_52_03[[#This Row],[Ledger Code]])&gt;3,"AR"&amp;Table12_52_03[[#This Row],[Ledger Code]],"TBC")</f>
        <v>AR5902</v>
      </c>
      <c r="H47" s="20">
        <v>0</v>
      </c>
      <c r="I47" s="20">
        <v>0</v>
      </c>
      <c r="J47" s="20">
        <v>0</v>
      </c>
      <c r="K47" s="20">
        <v>0</v>
      </c>
      <c r="L47" s="20">
        <v>0</v>
      </c>
      <c r="M47" s="20">
        <v>266</v>
      </c>
      <c r="N47" s="20">
        <v>0</v>
      </c>
      <c r="O47" s="20">
        <v>0</v>
      </c>
      <c r="P47" s="41">
        <v>23.82</v>
      </c>
      <c r="Q47" s="41">
        <v>66.050000000000011</v>
      </c>
      <c r="R47" s="41">
        <v>24.339999999999996</v>
      </c>
      <c r="S47" s="41">
        <v>60.52</v>
      </c>
      <c r="T47" s="41">
        <v>59.97</v>
      </c>
      <c r="U47" s="41">
        <v>44.37</v>
      </c>
      <c r="V47" s="41">
        <v>40.32</v>
      </c>
      <c r="W47" s="41">
        <v>42.19</v>
      </c>
    </row>
    <row r="48" spans="1:23" hidden="1" x14ac:dyDescent="0.25">
      <c r="A48" s="18">
        <v>2009</v>
      </c>
      <c r="B48" s="19">
        <v>5809</v>
      </c>
      <c r="C48" s="19" t="s">
        <v>99</v>
      </c>
      <c r="D48" s="19" t="s">
        <v>100</v>
      </c>
      <c r="E48" s="19" t="s">
        <v>9</v>
      </c>
      <c r="F48" s="19" t="s">
        <v>98</v>
      </c>
      <c r="G48" s="20" t="str">
        <f>IF(LEN(Table12_52_03[[#This Row],[Ledger Code]])&gt;3,"AR"&amp;Table12_52_03[[#This Row],[Ledger Code]],"TBC")</f>
        <v>AR5809</v>
      </c>
      <c r="H48" s="20">
        <v>0</v>
      </c>
      <c r="I48" s="20">
        <v>0</v>
      </c>
      <c r="J48" s="20">
        <v>0</v>
      </c>
      <c r="K48" s="20">
        <v>0</v>
      </c>
      <c r="L48" s="20">
        <v>0</v>
      </c>
      <c r="M48" s="20">
        <v>0</v>
      </c>
      <c r="N48" s="20">
        <v>0</v>
      </c>
      <c r="O48" s="20">
        <v>0</v>
      </c>
      <c r="P48" s="41">
        <v>0</v>
      </c>
      <c r="Q48" s="41">
        <v>0</v>
      </c>
      <c r="R48" s="41">
        <v>0</v>
      </c>
      <c r="S48" s="41">
        <v>0</v>
      </c>
      <c r="T48" s="41">
        <v>0</v>
      </c>
      <c r="U48" s="41">
        <v>0</v>
      </c>
      <c r="V48" s="41">
        <v>0</v>
      </c>
      <c r="W48" s="41">
        <v>0</v>
      </c>
    </row>
    <row r="49" spans="1:23" hidden="1" x14ac:dyDescent="0.25">
      <c r="A49" s="18">
        <v>2065</v>
      </c>
      <c r="B49" s="19">
        <v>5765</v>
      </c>
      <c r="C49" s="19" t="s">
        <v>101</v>
      </c>
      <c r="D49" s="19" t="s">
        <v>102</v>
      </c>
      <c r="E49" s="19" t="s">
        <v>9</v>
      </c>
      <c r="F49" s="19" t="s">
        <v>98</v>
      </c>
      <c r="G49" s="20" t="str">
        <f>IF(LEN(Table12_52_03[[#This Row],[Ledger Code]])&gt;3,"AR"&amp;Table12_52_03[[#This Row],[Ledger Code]],"TBC")</f>
        <v>AR5765</v>
      </c>
      <c r="H49" s="20">
        <v>0</v>
      </c>
      <c r="I49" s="20">
        <v>0</v>
      </c>
      <c r="J49" s="20">
        <v>0</v>
      </c>
      <c r="K49" s="20">
        <v>0</v>
      </c>
      <c r="L49" s="20">
        <v>0</v>
      </c>
      <c r="M49" s="20">
        <v>0</v>
      </c>
      <c r="N49" s="20">
        <v>0</v>
      </c>
      <c r="O49" s="20">
        <v>0</v>
      </c>
      <c r="P49" s="41">
        <v>0</v>
      </c>
      <c r="Q49" s="41">
        <v>0</v>
      </c>
      <c r="R49" s="41">
        <v>0</v>
      </c>
      <c r="S49" s="41">
        <v>0</v>
      </c>
      <c r="T49" s="41">
        <v>0</v>
      </c>
      <c r="U49" s="41">
        <v>0</v>
      </c>
      <c r="V49" s="41">
        <v>0</v>
      </c>
      <c r="W49" s="41">
        <v>0</v>
      </c>
    </row>
    <row r="50" spans="1:23" hidden="1" x14ac:dyDescent="0.25">
      <c r="A50" s="18">
        <v>2066</v>
      </c>
      <c r="B50" s="19">
        <v>5766</v>
      </c>
      <c r="C50" s="19" t="s">
        <v>103</v>
      </c>
      <c r="D50" s="19" t="s">
        <v>104</v>
      </c>
      <c r="E50" s="19" t="s">
        <v>9</v>
      </c>
      <c r="F50" s="19" t="s">
        <v>98</v>
      </c>
      <c r="G50" s="20" t="str">
        <f>IF(LEN(Table12_52_03[[#This Row],[Ledger Code]])&gt;3,"AR"&amp;Table12_52_03[[#This Row],[Ledger Code]],"TBC")</f>
        <v>AR5766</v>
      </c>
      <c r="H50" s="20">
        <v>0</v>
      </c>
      <c r="I50" s="20">
        <v>0</v>
      </c>
      <c r="J50" s="20">
        <v>0</v>
      </c>
      <c r="K50" s="20">
        <v>0</v>
      </c>
      <c r="L50" s="20">
        <v>0</v>
      </c>
      <c r="M50" s="20">
        <v>0</v>
      </c>
      <c r="N50" s="20">
        <v>0</v>
      </c>
      <c r="O50" s="20">
        <v>0</v>
      </c>
      <c r="P50" s="41">
        <v>0</v>
      </c>
      <c r="Q50" s="41">
        <v>0</v>
      </c>
      <c r="R50" s="41">
        <v>0</v>
      </c>
      <c r="S50" s="41">
        <v>0</v>
      </c>
      <c r="T50" s="41">
        <v>0</v>
      </c>
      <c r="U50" s="41">
        <v>0</v>
      </c>
      <c r="V50" s="41">
        <v>0</v>
      </c>
      <c r="W50" s="41">
        <v>0</v>
      </c>
    </row>
    <row r="51" spans="1:23" hidden="1" x14ac:dyDescent="0.25">
      <c r="A51" s="18">
        <v>2122</v>
      </c>
      <c r="B51" s="19">
        <v>5812</v>
      </c>
      <c r="C51" s="19" t="s">
        <v>323</v>
      </c>
      <c r="D51" s="19">
        <v>0</v>
      </c>
      <c r="E51" s="19" t="s">
        <v>9</v>
      </c>
      <c r="F51" s="19" t="s">
        <v>98</v>
      </c>
      <c r="G51" s="20" t="str">
        <f>IF(LEN(Table12_52_03[[#This Row],[Ledger Code]])&gt;3,"AR"&amp;Table12_52_03[[#This Row],[Ledger Code]],"TBC")</f>
        <v>AR5812</v>
      </c>
      <c r="H51" s="20">
        <v>0</v>
      </c>
      <c r="I51" s="20">
        <v>0</v>
      </c>
      <c r="J51" s="20">
        <v>0</v>
      </c>
      <c r="K51" s="20">
        <v>0</v>
      </c>
      <c r="L51" s="20">
        <v>0</v>
      </c>
      <c r="M51" s="20">
        <v>0</v>
      </c>
      <c r="N51" s="20">
        <v>0</v>
      </c>
      <c r="O51" s="20">
        <v>0</v>
      </c>
      <c r="P51" s="41">
        <v>0</v>
      </c>
      <c r="Q51" s="41">
        <v>0</v>
      </c>
      <c r="R51" s="41">
        <v>0</v>
      </c>
      <c r="S51" s="41">
        <v>0</v>
      </c>
      <c r="T51" s="41">
        <v>0</v>
      </c>
      <c r="U51" s="41">
        <v>0</v>
      </c>
      <c r="V51" s="41">
        <v>0</v>
      </c>
      <c r="W51" s="41">
        <v>0</v>
      </c>
    </row>
    <row r="52" spans="1:23" hidden="1" x14ac:dyDescent="0.25">
      <c r="A52" s="18">
        <v>2215</v>
      </c>
      <c r="B52" s="19">
        <v>6045</v>
      </c>
      <c r="C52" s="19" t="s">
        <v>105</v>
      </c>
      <c r="D52" s="19" t="s">
        <v>106</v>
      </c>
      <c r="E52" s="19" t="s">
        <v>9</v>
      </c>
      <c r="F52" s="19" t="s">
        <v>98</v>
      </c>
      <c r="G52" s="20" t="str">
        <f>IF(LEN(Table12_52_03[[#This Row],[Ledger Code]])&gt;3,"AR"&amp;Table12_52_03[[#This Row],[Ledger Code]],"TBC")</f>
        <v>AR6045</v>
      </c>
      <c r="H52" s="20">
        <v>116851</v>
      </c>
      <c r="I52" s="20">
        <v>31500</v>
      </c>
      <c r="J52" s="20">
        <v>205922</v>
      </c>
      <c r="K52" s="20">
        <v>254960</v>
      </c>
      <c r="L52" s="20">
        <v>79077</v>
      </c>
      <c r="M52" s="20">
        <v>32896</v>
      </c>
      <c r="N52" s="20">
        <v>142858</v>
      </c>
      <c r="O52" s="20">
        <v>152968</v>
      </c>
      <c r="P52" s="41">
        <v>0</v>
      </c>
      <c r="Q52" s="41">
        <v>6596.0500000000011</v>
      </c>
      <c r="R52" s="41">
        <v>6003.0700000000015</v>
      </c>
      <c r="S52" s="41">
        <v>10407.939999999999</v>
      </c>
      <c r="T52" s="41">
        <v>5825.869999999999</v>
      </c>
      <c r="U52" s="41">
        <v>1717.66</v>
      </c>
      <c r="V52" s="41">
        <v>3595.39</v>
      </c>
      <c r="W52" s="41">
        <v>5365.93</v>
      </c>
    </row>
    <row r="53" spans="1:23" hidden="1" x14ac:dyDescent="0.25">
      <c r="A53" s="18">
        <v>2232</v>
      </c>
      <c r="B53" s="19">
        <v>6063</v>
      </c>
      <c r="C53" s="19" t="s">
        <v>107</v>
      </c>
      <c r="D53" s="19" t="s">
        <v>108</v>
      </c>
      <c r="E53" s="19" t="s">
        <v>9</v>
      </c>
      <c r="F53" s="19" t="s">
        <v>98</v>
      </c>
      <c r="G53" s="20" t="str">
        <f>IF(LEN(Table12_52_03[[#This Row],[Ledger Code]])&gt;3,"AR"&amp;Table12_52_03[[#This Row],[Ledger Code]],"TBC")</f>
        <v>AR6063</v>
      </c>
      <c r="H53" s="20">
        <v>0</v>
      </c>
      <c r="I53" s="20">
        <v>-31813</v>
      </c>
      <c r="J53" s="20">
        <v>31813</v>
      </c>
      <c r="K53" s="20">
        <v>53848</v>
      </c>
      <c r="L53" s="20">
        <v>74366</v>
      </c>
      <c r="M53" s="20">
        <v>18054</v>
      </c>
      <c r="N53" s="20">
        <v>48703</v>
      </c>
      <c r="O53" s="20">
        <v>123979</v>
      </c>
      <c r="P53" s="41">
        <v>0</v>
      </c>
      <c r="Q53" s="41">
        <v>0</v>
      </c>
      <c r="R53" s="41">
        <v>0</v>
      </c>
      <c r="S53" s="41">
        <v>4167.2999999999993</v>
      </c>
      <c r="T53" s="41">
        <v>919.76000000000067</v>
      </c>
      <c r="U53" s="41">
        <v>692.52999999999315</v>
      </c>
      <c r="V53" s="41">
        <v>1809.46</v>
      </c>
      <c r="W53" s="41">
        <v>2901.88</v>
      </c>
    </row>
    <row r="54" spans="1:23" hidden="1" x14ac:dyDescent="0.25">
      <c r="A54" s="18">
        <v>2347</v>
      </c>
      <c r="B54" s="19">
        <v>5997</v>
      </c>
      <c r="C54" s="19" t="s">
        <v>109</v>
      </c>
      <c r="D54" s="19" t="s">
        <v>110</v>
      </c>
      <c r="E54" s="19" t="s">
        <v>9</v>
      </c>
      <c r="F54" s="19" t="s">
        <v>98</v>
      </c>
      <c r="G54" s="20" t="str">
        <f>IF(LEN(Table12_52_03[[#This Row],[Ledger Code]])&gt;3,"AR"&amp;Table12_52_03[[#This Row],[Ledger Code]],"TBC")</f>
        <v>AR5997</v>
      </c>
      <c r="H54" s="20">
        <v>0</v>
      </c>
      <c r="I54" s="20">
        <v>0</v>
      </c>
      <c r="J54" s="20">
        <v>0</v>
      </c>
      <c r="K54" s="20">
        <v>0</v>
      </c>
      <c r="L54" s="20">
        <v>0</v>
      </c>
      <c r="M54" s="20">
        <v>0</v>
      </c>
      <c r="N54" s="20">
        <v>0</v>
      </c>
      <c r="O54" s="20">
        <v>0</v>
      </c>
      <c r="P54" s="41">
        <v>170.63</v>
      </c>
      <c r="Q54" s="41">
        <v>199.86</v>
      </c>
      <c r="R54" s="41">
        <v>133.55999999999995</v>
      </c>
      <c r="S54" s="41">
        <v>357.63</v>
      </c>
      <c r="T54" s="41">
        <v>234.05</v>
      </c>
      <c r="U54" s="41">
        <v>194.07000000000005</v>
      </c>
      <c r="V54" s="41">
        <v>136.44999999999996</v>
      </c>
      <c r="W54" s="41">
        <v>247.02</v>
      </c>
    </row>
    <row r="55" spans="1:23" hidden="1" x14ac:dyDescent="0.25">
      <c r="A55" s="18">
        <v>2348</v>
      </c>
      <c r="B55" s="19">
        <v>5999</v>
      </c>
      <c r="C55" s="19" t="s">
        <v>111</v>
      </c>
      <c r="D55" s="19" t="s">
        <v>110</v>
      </c>
      <c r="E55" s="19" t="s">
        <v>9</v>
      </c>
      <c r="F55" s="19" t="s">
        <v>98</v>
      </c>
      <c r="G55" s="20" t="str">
        <f>IF(LEN(Table12_52_03[[#This Row],[Ledger Code]])&gt;3,"AR"&amp;Table12_52_03[[#This Row],[Ledger Code]],"TBC")</f>
        <v>AR5999</v>
      </c>
      <c r="H55" s="20">
        <v>0</v>
      </c>
      <c r="I55" s="20">
        <v>0</v>
      </c>
      <c r="J55" s="20">
        <v>0</v>
      </c>
      <c r="K55" s="20">
        <v>0</v>
      </c>
      <c r="L55" s="20">
        <v>0</v>
      </c>
      <c r="M55" s="20">
        <v>0</v>
      </c>
      <c r="N55" s="20">
        <v>0</v>
      </c>
      <c r="O55" s="20">
        <v>0</v>
      </c>
      <c r="P55" s="41">
        <v>0</v>
      </c>
      <c r="Q55" s="41">
        <v>0</v>
      </c>
      <c r="R55" s="41">
        <v>0</v>
      </c>
      <c r="S55" s="41">
        <v>0</v>
      </c>
      <c r="T55" s="41">
        <v>0</v>
      </c>
      <c r="U55" s="41">
        <v>0</v>
      </c>
      <c r="V55" s="41">
        <v>0</v>
      </c>
      <c r="W55" s="41">
        <v>0</v>
      </c>
    </row>
    <row r="56" spans="1:23" hidden="1" x14ac:dyDescent="0.25">
      <c r="A56" s="18">
        <v>2351</v>
      </c>
      <c r="B56" s="19">
        <v>5963</v>
      </c>
      <c r="C56" s="19" t="s">
        <v>112</v>
      </c>
      <c r="D56" s="19" t="s">
        <v>113</v>
      </c>
      <c r="E56" s="19" t="s">
        <v>9</v>
      </c>
      <c r="F56" s="19" t="s">
        <v>98</v>
      </c>
      <c r="G56" s="20" t="str">
        <f>IF(LEN(Table12_52_03[[#This Row],[Ledger Code]])&gt;3,"AR"&amp;Table12_52_03[[#This Row],[Ledger Code]],"TBC")</f>
        <v>AR5963</v>
      </c>
      <c r="H56" s="20">
        <v>0</v>
      </c>
      <c r="I56" s="20">
        <v>0</v>
      </c>
      <c r="J56" s="20">
        <v>0</v>
      </c>
      <c r="K56" s="20">
        <v>0</v>
      </c>
      <c r="L56" s="20">
        <v>0</v>
      </c>
      <c r="M56" s="20">
        <v>0</v>
      </c>
      <c r="N56" s="20">
        <v>0</v>
      </c>
      <c r="O56" s="20">
        <v>0</v>
      </c>
      <c r="P56" s="41">
        <v>0</v>
      </c>
      <c r="Q56" s="41">
        <v>0</v>
      </c>
      <c r="R56" s="41">
        <v>0</v>
      </c>
      <c r="S56" s="41">
        <v>0</v>
      </c>
      <c r="T56" s="41">
        <v>0</v>
      </c>
      <c r="U56" s="41">
        <v>0</v>
      </c>
      <c r="V56" s="41">
        <v>0</v>
      </c>
      <c r="W56" s="41">
        <v>0</v>
      </c>
    </row>
    <row r="57" spans="1:23" hidden="1" x14ac:dyDescent="0.25">
      <c r="A57" s="18">
        <v>2447</v>
      </c>
      <c r="B57" s="19">
        <v>3414</v>
      </c>
      <c r="C57" s="19" t="s">
        <v>114</v>
      </c>
      <c r="D57" s="19" t="s">
        <v>115</v>
      </c>
      <c r="E57" s="19" t="s">
        <v>57</v>
      </c>
      <c r="F57" s="19" t="s">
        <v>58</v>
      </c>
      <c r="G57" s="20" t="str">
        <f>IF(LEN(Table12_52_03[[#This Row],[Ledger Code]])&gt;3,"AR"&amp;Table12_52_03[[#This Row],[Ledger Code]],"TBC")</f>
        <v>AR3414</v>
      </c>
      <c r="H57" s="20">
        <v>0</v>
      </c>
      <c r="I57" s="20">
        <v>0</v>
      </c>
      <c r="J57" s="20">
        <v>0</v>
      </c>
      <c r="K57" s="20">
        <v>0</v>
      </c>
      <c r="L57" s="20">
        <v>0</v>
      </c>
      <c r="M57" s="20">
        <v>0</v>
      </c>
      <c r="N57" s="20">
        <v>0</v>
      </c>
      <c r="O57" s="20">
        <v>0</v>
      </c>
      <c r="P57" s="41">
        <v>0</v>
      </c>
      <c r="Q57" s="41">
        <v>0</v>
      </c>
      <c r="R57" s="41">
        <v>0</v>
      </c>
      <c r="S57" s="41">
        <v>0</v>
      </c>
      <c r="T57" s="41">
        <v>0</v>
      </c>
      <c r="U57" s="41">
        <v>0</v>
      </c>
      <c r="V57" s="41">
        <v>0</v>
      </c>
      <c r="W57" s="41">
        <v>0</v>
      </c>
    </row>
    <row r="58" spans="1:23" hidden="1" x14ac:dyDescent="0.25">
      <c r="A58" s="18">
        <v>2467</v>
      </c>
      <c r="B58" s="19">
        <v>3466</v>
      </c>
      <c r="C58" s="19" t="s">
        <v>320</v>
      </c>
      <c r="D58" s="19" t="s">
        <v>321</v>
      </c>
      <c r="E58" s="19" t="s">
        <v>57</v>
      </c>
      <c r="F58" s="19" t="s">
        <v>58</v>
      </c>
      <c r="G58" s="20" t="str">
        <f>IF(LEN(Table12_52_03[[#This Row],[Ledger Code]])&gt;3,"AR"&amp;Table12_52_03[[#This Row],[Ledger Code]],"TBC")</f>
        <v>AR3466</v>
      </c>
      <c r="H58" s="20">
        <v>0</v>
      </c>
      <c r="I58" s="20">
        <v>0</v>
      </c>
      <c r="J58" s="20">
        <v>0</v>
      </c>
      <c r="K58" s="20">
        <v>0</v>
      </c>
      <c r="L58" s="20">
        <v>0</v>
      </c>
      <c r="M58" s="20">
        <v>0</v>
      </c>
      <c r="N58" s="20">
        <v>0</v>
      </c>
      <c r="O58" s="20">
        <v>0</v>
      </c>
      <c r="P58" s="41">
        <v>0</v>
      </c>
      <c r="Q58" s="41">
        <v>0</v>
      </c>
      <c r="R58" s="41">
        <v>0</v>
      </c>
      <c r="S58" s="41">
        <v>0</v>
      </c>
      <c r="T58" s="41">
        <v>0</v>
      </c>
      <c r="U58" s="41">
        <v>0</v>
      </c>
      <c r="V58" s="41">
        <v>0</v>
      </c>
      <c r="W58" s="41">
        <v>0</v>
      </c>
    </row>
    <row r="59" spans="1:23" hidden="1" x14ac:dyDescent="0.25">
      <c r="A59" s="18">
        <v>2525</v>
      </c>
      <c r="B59" s="19">
        <v>3262</v>
      </c>
      <c r="C59" s="19" t="s">
        <v>334</v>
      </c>
      <c r="D59" s="19" t="s">
        <v>335</v>
      </c>
      <c r="E59" s="19" t="s">
        <v>57</v>
      </c>
      <c r="F59" s="19" t="s">
        <v>58</v>
      </c>
      <c r="G59" s="20" t="str">
        <f>IF(LEN(Table12_52_03[[#This Row],[Ledger Code]])&gt;3,"AR"&amp;Table12_52_03[[#This Row],[Ledger Code]],"TBC")</f>
        <v>AR3262</v>
      </c>
      <c r="H59" s="20">
        <v>0</v>
      </c>
      <c r="I59" s="20">
        <v>0</v>
      </c>
      <c r="J59" s="20">
        <v>0</v>
      </c>
      <c r="K59" s="20">
        <v>0</v>
      </c>
      <c r="L59" s="20">
        <v>0</v>
      </c>
      <c r="M59" s="20">
        <v>0</v>
      </c>
      <c r="N59" s="20">
        <v>0</v>
      </c>
      <c r="O59" s="20">
        <v>0</v>
      </c>
      <c r="P59" s="41">
        <v>1181.6799999999998</v>
      </c>
      <c r="Q59" s="41">
        <v>1124.6300000000001</v>
      </c>
      <c r="R59" s="41">
        <v>1883.5</v>
      </c>
      <c r="S59" s="41">
        <v>3091.58</v>
      </c>
      <c r="T59" s="41">
        <v>1786.36</v>
      </c>
      <c r="U59" s="41">
        <v>936.9000000000002</v>
      </c>
      <c r="V59" s="41">
        <v>1492.3600000000001</v>
      </c>
      <c r="W59" s="41">
        <v>2330.2400000000011</v>
      </c>
    </row>
    <row r="60" spans="1:23" hidden="1" x14ac:dyDescent="0.25">
      <c r="A60" s="18">
        <v>2529</v>
      </c>
      <c r="B60" s="19">
        <v>3283</v>
      </c>
      <c r="C60" s="19" t="s">
        <v>116</v>
      </c>
      <c r="D60" s="19" t="s">
        <v>117</v>
      </c>
      <c r="E60" s="19" t="s">
        <v>57</v>
      </c>
      <c r="F60" s="19" t="s">
        <v>58</v>
      </c>
      <c r="G60" s="20" t="str">
        <f>IF(LEN(Table12_52_03[[#This Row],[Ledger Code]])&gt;3,"AR"&amp;Table12_52_03[[#This Row],[Ledger Code]],"TBC")</f>
        <v>AR3283</v>
      </c>
      <c r="H60" s="20">
        <v>0</v>
      </c>
      <c r="I60" s="20">
        <v>0</v>
      </c>
      <c r="J60" s="20">
        <v>0</v>
      </c>
      <c r="K60" s="20">
        <v>0</v>
      </c>
      <c r="L60" s="20">
        <v>0</v>
      </c>
      <c r="M60" s="20">
        <v>0</v>
      </c>
      <c r="N60" s="20">
        <v>0</v>
      </c>
      <c r="O60" s="20">
        <v>0</v>
      </c>
      <c r="P60" s="41">
        <v>772.85</v>
      </c>
      <c r="Q60" s="41">
        <v>1053.5199999999998</v>
      </c>
      <c r="R60" s="41">
        <v>1768.3799999999999</v>
      </c>
      <c r="S60" s="41">
        <v>6081.9</v>
      </c>
      <c r="T60" s="41">
        <v>1613.5299999999997</v>
      </c>
      <c r="U60" s="41">
        <v>1135.809999999999</v>
      </c>
      <c r="V60" s="41">
        <v>1827.96</v>
      </c>
      <c r="W60" s="41">
        <v>2398.29</v>
      </c>
    </row>
    <row r="61" spans="1:23" hidden="1" x14ac:dyDescent="0.25">
      <c r="A61" s="18">
        <v>2555</v>
      </c>
      <c r="B61" s="19">
        <v>3325</v>
      </c>
      <c r="C61" s="19" t="s">
        <v>118</v>
      </c>
      <c r="D61" s="19" t="s">
        <v>119</v>
      </c>
      <c r="E61" s="19" t="s">
        <v>57</v>
      </c>
      <c r="F61" s="19" t="s">
        <v>58</v>
      </c>
      <c r="G61" s="20" t="str">
        <f>IF(LEN(Table12_52_03[[#This Row],[Ledger Code]])&gt;3,"AR"&amp;Table12_52_03[[#This Row],[Ledger Code]],"TBC")</f>
        <v>AR3325</v>
      </c>
      <c r="H61" s="20">
        <v>0</v>
      </c>
      <c r="I61" s="20">
        <v>0</v>
      </c>
      <c r="J61" s="20">
        <v>0</v>
      </c>
      <c r="K61" s="20">
        <v>0</v>
      </c>
      <c r="L61" s="20">
        <v>0</v>
      </c>
      <c r="M61" s="20">
        <v>0</v>
      </c>
      <c r="N61" s="20">
        <v>0</v>
      </c>
      <c r="O61" s="20">
        <v>0</v>
      </c>
      <c r="P61" s="41">
        <v>0</v>
      </c>
      <c r="Q61" s="41">
        <v>0</v>
      </c>
      <c r="R61" s="41">
        <v>0</v>
      </c>
      <c r="S61" s="41">
        <v>0</v>
      </c>
      <c r="T61" s="41">
        <v>0</v>
      </c>
      <c r="U61" s="41">
        <v>0</v>
      </c>
      <c r="V61" s="41">
        <v>0</v>
      </c>
      <c r="W61" s="41">
        <v>1416.43</v>
      </c>
    </row>
    <row r="62" spans="1:23" hidden="1" x14ac:dyDescent="0.25">
      <c r="A62" s="18">
        <v>2558</v>
      </c>
      <c r="B62" s="19">
        <v>3160</v>
      </c>
      <c r="C62" s="19" t="s">
        <v>120</v>
      </c>
      <c r="D62" s="19" t="s">
        <v>121</v>
      </c>
      <c r="E62" s="19" t="s">
        <v>57</v>
      </c>
      <c r="F62" s="19" t="s">
        <v>58</v>
      </c>
      <c r="G62" s="20" t="str">
        <f>IF(LEN(Table12_52_03[[#This Row],[Ledger Code]])&gt;3,"AR"&amp;Table12_52_03[[#This Row],[Ledger Code]],"TBC")</f>
        <v>AR3160</v>
      </c>
      <c r="H62" s="20">
        <v>0</v>
      </c>
      <c r="I62" s="20">
        <v>0</v>
      </c>
      <c r="J62" s="20">
        <v>0</v>
      </c>
      <c r="K62" s="20">
        <v>0</v>
      </c>
      <c r="L62" s="20">
        <v>0</v>
      </c>
      <c r="M62" s="20">
        <v>0</v>
      </c>
      <c r="N62" s="20">
        <v>0</v>
      </c>
      <c r="O62" s="20">
        <v>0</v>
      </c>
      <c r="P62" s="41">
        <v>639.95000000000005</v>
      </c>
      <c r="Q62" s="41">
        <v>1293.75</v>
      </c>
      <c r="R62" s="41">
        <v>2035.2299999999998</v>
      </c>
      <c r="S62" s="41">
        <v>2773.8599999999997</v>
      </c>
      <c r="T62" s="41">
        <v>1904.3000000000002</v>
      </c>
      <c r="U62" s="41">
        <v>1275.79</v>
      </c>
      <c r="V62" s="41">
        <v>1638.96</v>
      </c>
      <c r="W62" s="41">
        <v>1826.2199999999998</v>
      </c>
    </row>
    <row r="63" spans="1:23" hidden="1" x14ac:dyDescent="0.25">
      <c r="A63" s="18">
        <v>2564</v>
      </c>
      <c r="B63" s="19">
        <v>3166</v>
      </c>
      <c r="C63" s="19" t="s">
        <v>122</v>
      </c>
      <c r="D63" s="19" t="s">
        <v>123</v>
      </c>
      <c r="E63" s="19" t="s">
        <v>57</v>
      </c>
      <c r="F63" s="19" t="s">
        <v>58</v>
      </c>
      <c r="G63" s="20" t="str">
        <f>IF(LEN(Table12_52_03[[#This Row],[Ledger Code]])&gt;3,"AR"&amp;Table12_52_03[[#This Row],[Ledger Code]],"TBC")</f>
        <v>AR3166</v>
      </c>
      <c r="H63" s="20">
        <v>0</v>
      </c>
      <c r="I63" s="20">
        <v>0</v>
      </c>
      <c r="J63" s="20">
        <v>0</v>
      </c>
      <c r="K63" s="20">
        <v>0</v>
      </c>
      <c r="L63" s="20">
        <v>0</v>
      </c>
      <c r="M63" s="20">
        <v>0</v>
      </c>
      <c r="N63" s="20">
        <v>0</v>
      </c>
      <c r="O63" s="20">
        <v>0</v>
      </c>
      <c r="P63" s="41">
        <v>900.63</v>
      </c>
      <c r="Q63" s="41">
        <v>362.67000000000007</v>
      </c>
      <c r="R63" s="41">
        <v>1429.38</v>
      </c>
      <c r="S63" s="41">
        <v>2059.34</v>
      </c>
      <c r="T63" s="41">
        <v>1374.99</v>
      </c>
      <c r="U63" s="41">
        <v>547.83000000000004</v>
      </c>
      <c r="V63" s="41">
        <v>1032.9100000000001</v>
      </c>
      <c r="W63" s="41">
        <v>1297.9000000000001</v>
      </c>
    </row>
    <row r="64" spans="1:23" hidden="1" x14ac:dyDescent="0.25">
      <c r="A64" s="18">
        <v>2566</v>
      </c>
      <c r="B64" s="19">
        <v>3168</v>
      </c>
      <c r="C64" s="19" t="s">
        <v>124</v>
      </c>
      <c r="D64" s="19" t="s">
        <v>125</v>
      </c>
      <c r="E64" s="19" t="s">
        <v>57</v>
      </c>
      <c r="F64" s="19" t="s">
        <v>58</v>
      </c>
      <c r="G64" s="20" t="str">
        <f>IF(LEN(Table12_52_03[[#This Row],[Ledger Code]])&gt;3,"AR"&amp;Table12_52_03[[#This Row],[Ledger Code]],"TBC")</f>
        <v>AR3168</v>
      </c>
      <c r="H64" s="20">
        <v>0</v>
      </c>
      <c r="I64" s="20">
        <v>0</v>
      </c>
      <c r="J64" s="20">
        <v>0</v>
      </c>
      <c r="K64" s="20">
        <v>0</v>
      </c>
      <c r="L64" s="20">
        <v>0</v>
      </c>
      <c r="M64" s="20">
        <v>0</v>
      </c>
      <c r="N64" s="20">
        <v>0</v>
      </c>
      <c r="O64" s="20">
        <v>0</v>
      </c>
      <c r="P64" s="41">
        <v>1243.02</v>
      </c>
      <c r="Q64" s="41">
        <v>1170.31</v>
      </c>
      <c r="R64" s="41">
        <v>2169.67</v>
      </c>
      <c r="S64" s="41">
        <v>2869.7200000000003</v>
      </c>
      <c r="T64" s="41">
        <v>1945.16</v>
      </c>
      <c r="U64" s="41">
        <v>111.58000000000021</v>
      </c>
      <c r="V64" s="41">
        <v>2808.97</v>
      </c>
      <c r="W64" s="41">
        <v>2057.7799999999997</v>
      </c>
    </row>
    <row r="65" spans="1:23" hidden="1" x14ac:dyDescent="0.25">
      <c r="A65" s="18">
        <v>2570</v>
      </c>
      <c r="B65" s="19">
        <v>3209</v>
      </c>
      <c r="C65" s="19" t="s">
        <v>126</v>
      </c>
      <c r="D65" s="19" t="s">
        <v>127</v>
      </c>
      <c r="E65" s="19" t="s">
        <v>57</v>
      </c>
      <c r="F65" s="19" t="s">
        <v>58</v>
      </c>
      <c r="G65" s="20" t="str">
        <f>IF(LEN(Table12_52_03[[#This Row],[Ledger Code]])&gt;3,"AR"&amp;Table12_52_03[[#This Row],[Ledger Code]],"TBC")</f>
        <v>AR3209</v>
      </c>
      <c r="H65" s="20">
        <v>0</v>
      </c>
      <c r="I65" s="20">
        <v>0</v>
      </c>
      <c r="J65" s="20">
        <v>0</v>
      </c>
      <c r="K65" s="20">
        <v>0</v>
      </c>
      <c r="L65" s="20">
        <v>0</v>
      </c>
      <c r="M65" s="20">
        <v>0</v>
      </c>
      <c r="N65" s="20">
        <v>0</v>
      </c>
      <c r="O65" s="20">
        <v>0</v>
      </c>
      <c r="P65" s="41">
        <v>0</v>
      </c>
      <c r="Q65" s="41">
        <v>0</v>
      </c>
      <c r="R65" s="41">
        <v>0</v>
      </c>
      <c r="S65" s="41">
        <v>0</v>
      </c>
      <c r="T65" s="41">
        <v>0</v>
      </c>
      <c r="U65" s="41">
        <v>0</v>
      </c>
      <c r="V65" s="41">
        <v>0</v>
      </c>
      <c r="W65" s="41">
        <v>0</v>
      </c>
    </row>
    <row r="66" spans="1:23" hidden="1" x14ac:dyDescent="0.25">
      <c r="A66" s="18">
        <v>2571</v>
      </c>
      <c r="B66" s="19">
        <v>3172</v>
      </c>
      <c r="C66" s="19" t="s">
        <v>128</v>
      </c>
      <c r="D66" s="19" t="s">
        <v>129</v>
      </c>
      <c r="E66" s="19" t="s">
        <v>57</v>
      </c>
      <c r="F66" s="19" t="s">
        <v>58</v>
      </c>
      <c r="G66" s="20" t="str">
        <f>IF(LEN(Table12_52_03[[#This Row],[Ledger Code]])&gt;3,"AR"&amp;Table12_52_03[[#This Row],[Ledger Code]],"TBC")</f>
        <v>AR3172</v>
      </c>
      <c r="H66" s="20">
        <v>0</v>
      </c>
      <c r="I66" s="20">
        <v>0</v>
      </c>
      <c r="J66" s="20">
        <v>0</v>
      </c>
      <c r="K66" s="20">
        <v>0</v>
      </c>
      <c r="L66" s="20">
        <v>0</v>
      </c>
      <c r="M66" s="20">
        <v>0</v>
      </c>
      <c r="N66" s="20">
        <v>0</v>
      </c>
      <c r="O66" s="20">
        <v>0</v>
      </c>
      <c r="P66" s="41">
        <v>1698.02</v>
      </c>
      <c r="Q66" s="41">
        <v>755.52</v>
      </c>
      <c r="R66" s="41">
        <v>2250.25</v>
      </c>
      <c r="S66" s="41">
        <v>3244.94</v>
      </c>
      <c r="T66" s="41">
        <v>2225.5499999999997</v>
      </c>
      <c r="U66" s="41">
        <v>1065.03</v>
      </c>
      <c r="V66" s="41">
        <v>1901.4</v>
      </c>
      <c r="W66" s="41">
        <v>2126.17</v>
      </c>
    </row>
    <row r="67" spans="1:23" hidden="1" x14ac:dyDescent="0.25">
      <c r="A67" s="18">
        <v>2572</v>
      </c>
      <c r="B67" s="19">
        <v>3173</v>
      </c>
      <c r="C67" s="19" t="s">
        <v>130</v>
      </c>
      <c r="D67" s="19" t="s">
        <v>131</v>
      </c>
      <c r="E67" s="19" t="s">
        <v>57</v>
      </c>
      <c r="F67" s="19" t="s">
        <v>58</v>
      </c>
      <c r="G67" s="20" t="str">
        <f>IF(LEN(Table12_52_03[[#This Row],[Ledger Code]])&gt;3,"AR"&amp;Table12_52_03[[#This Row],[Ledger Code]],"TBC")</f>
        <v>AR3173</v>
      </c>
      <c r="H67" s="20">
        <v>0</v>
      </c>
      <c r="I67" s="20">
        <v>0</v>
      </c>
      <c r="J67" s="20">
        <v>0</v>
      </c>
      <c r="K67" s="20">
        <v>0</v>
      </c>
      <c r="L67" s="20">
        <v>0</v>
      </c>
      <c r="M67" s="20">
        <v>0</v>
      </c>
      <c r="N67" s="20">
        <v>0</v>
      </c>
      <c r="O67" s="20">
        <v>0</v>
      </c>
      <c r="P67" s="41">
        <v>0</v>
      </c>
      <c r="Q67" s="41">
        <v>0</v>
      </c>
      <c r="R67" s="41">
        <v>0</v>
      </c>
      <c r="S67" s="41">
        <v>0</v>
      </c>
      <c r="T67" s="41">
        <v>0</v>
      </c>
      <c r="U67" s="41">
        <v>0</v>
      </c>
      <c r="V67" s="41">
        <v>0</v>
      </c>
      <c r="W67" s="41">
        <v>0</v>
      </c>
    </row>
    <row r="68" spans="1:23" hidden="1" x14ac:dyDescent="0.25">
      <c r="A68" s="18">
        <v>2580</v>
      </c>
      <c r="B68" s="19">
        <v>3181</v>
      </c>
      <c r="C68" s="19" t="s">
        <v>132</v>
      </c>
      <c r="D68" s="19" t="s">
        <v>133</v>
      </c>
      <c r="E68" s="19" t="s">
        <v>57</v>
      </c>
      <c r="F68" s="19" t="s">
        <v>58</v>
      </c>
      <c r="G68" s="20" t="str">
        <f>IF(LEN(Table12_52_03[[#This Row],[Ledger Code]])&gt;3,"AR"&amp;Table12_52_03[[#This Row],[Ledger Code]],"TBC")</f>
        <v>AR3181</v>
      </c>
      <c r="H68" s="20">
        <v>0</v>
      </c>
      <c r="I68" s="20">
        <v>0</v>
      </c>
      <c r="J68" s="20">
        <v>0</v>
      </c>
      <c r="K68" s="20">
        <v>0</v>
      </c>
      <c r="L68" s="20">
        <v>0</v>
      </c>
      <c r="M68" s="20">
        <v>0</v>
      </c>
      <c r="N68" s="20">
        <v>0</v>
      </c>
      <c r="O68" s="20">
        <v>0</v>
      </c>
      <c r="P68" s="41">
        <v>2391.81</v>
      </c>
      <c r="Q68" s="41">
        <v>791.74</v>
      </c>
      <c r="R68" s="41">
        <v>3331.7299999999996</v>
      </c>
      <c r="S68" s="41">
        <v>5158.8999999999996</v>
      </c>
      <c r="T68" s="41">
        <v>3399.55</v>
      </c>
      <c r="U68" s="41">
        <v>1438.5900000000001</v>
      </c>
      <c r="V68" s="41">
        <v>2455.88</v>
      </c>
      <c r="W68" s="41">
        <v>2793.65</v>
      </c>
    </row>
    <row r="69" spans="1:23" hidden="1" x14ac:dyDescent="0.25">
      <c r="A69" s="18">
        <v>2584</v>
      </c>
      <c r="B69" s="19">
        <v>3185</v>
      </c>
      <c r="C69" s="19" t="s">
        <v>134</v>
      </c>
      <c r="D69" s="19" t="s">
        <v>135</v>
      </c>
      <c r="E69" s="19" t="s">
        <v>57</v>
      </c>
      <c r="F69" s="19" t="s">
        <v>58</v>
      </c>
      <c r="G69" s="20" t="str">
        <f>IF(LEN(Table12_52_03[[#This Row],[Ledger Code]])&gt;3,"AR"&amp;Table12_52_03[[#This Row],[Ledger Code]],"TBC")</f>
        <v>AR3185</v>
      </c>
      <c r="H69" s="20">
        <v>0</v>
      </c>
      <c r="I69" s="20">
        <v>0</v>
      </c>
      <c r="J69" s="20">
        <v>0</v>
      </c>
      <c r="K69" s="20">
        <v>0</v>
      </c>
      <c r="L69" s="20">
        <v>0</v>
      </c>
      <c r="M69" s="20">
        <v>0</v>
      </c>
      <c r="N69" s="20">
        <v>0</v>
      </c>
      <c r="O69" s="20">
        <v>0</v>
      </c>
      <c r="P69" s="41">
        <v>708.22</v>
      </c>
      <c r="Q69" s="41">
        <v>1500.02</v>
      </c>
      <c r="R69" s="41">
        <v>2224.31</v>
      </c>
      <c r="S69" s="41">
        <v>2679.92</v>
      </c>
      <c r="T69" s="41">
        <v>1893.46</v>
      </c>
      <c r="U69" s="41">
        <v>1139.2699999999998</v>
      </c>
      <c r="V69" s="41">
        <v>1700.04</v>
      </c>
      <c r="W69" s="41">
        <v>1983.97</v>
      </c>
    </row>
    <row r="70" spans="1:23" hidden="1" x14ac:dyDescent="0.25">
      <c r="A70" s="18">
        <v>2587</v>
      </c>
      <c r="B70" s="19">
        <v>3188</v>
      </c>
      <c r="C70" s="19" t="s">
        <v>136</v>
      </c>
      <c r="D70" s="19" t="s">
        <v>137</v>
      </c>
      <c r="E70" s="19" t="s">
        <v>57</v>
      </c>
      <c r="F70" s="19" t="s">
        <v>58</v>
      </c>
      <c r="G70" s="20" t="str">
        <f>IF(LEN(Table12_52_03[[#This Row],[Ledger Code]])&gt;3,"AR"&amp;Table12_52_03[[#This Row],[Ledger Code]],"TBC")</f>
        <v>AR3188</v>
      </c>
      <c r="H70" s="20">
        <v>0</v>
      </c>
      <c r="I70" s="20">
        <v>0</v>
      </c>
      <c r="J70" s="20">
        <v>0</v>
      </c>
      <c r="K70" s="20">
        <v>0</v>
      </c>
      <c r="L70" s="20">
        <v>0</v>
      </c>
      <c r="M70" s="20">
        <v>0</v>
      </c>
      <c r="N70" s="20">
        <v>0</v>
      </c>
      <c r="O70" s="20">
        <v>0</v>
      </c>
      <c r="P70" s="41">
        <v>1851.39</v>
      </c>
      <c r="Q70" s="41">
        <v>733.66</v>
      </c>
      <c r="R70" s="41">
        <v>2989.45</v>
      </c>
      <c r="S70" s="41">
        <v>3832.88</v>
      </c>
      <c r="T70" s="41">
        <v>2751.33</v>
      </c>
      <c r="U70" s="41">
        <v>1254.6599999999996</v>
      </c>
      <c r="V70" s="41">
        <v>2315.2399999999998</v>
      </c>
      <c r="W70" s="41">
        <v>2736.21</v>
      </c>
    </row>
    <row r="71" spans="1:23" hidden="1" x14ac:dyDescent="0.25">
      <c r="A71" s="18">
        <v>2594</v>
      </c>
      <c r="B71" s="19">
        <v>3197</v>
      </c>
      <c r="C71" s="19" t="s">
        <v>138</v>
      </c>
      <c r="D71" s="19" t="s">
        <v>139</v>
      </c>
      <c r="E71" s="19" t="s">
        <v>57</v>
      </c>
      <c r="F71" s="19" t="s">
        <v>58</v>
      </c>
      <c r="G71" s="20" t="str">
        <f>IF(LEN(Table12_52_03[[#This Row],[Ledger Code]])&gt;3,"AR"&amp;Table12_52_03[[#This Row],[Ledger Code]],"TBC")</f>
        <v>AR3197</v>
      </c>
      <c r="H71" s="20">
        <v>0</v>
      </c>
      <c r="I71" s="20">
        <v>0</v>
      </c>
      <c r="J71" s="20">
        <v>0</v>
      </c>
      <c r="K71" s="20">
        <v>0</v>
      </c>
      <c r="L71" s="20">
        <v>0</v>
      </c>
      <c r="M71" s="20">
        <v>0</v>
      </c>
      <c r="N71" s="20">
        <v>0</v>
      </c>
      <c r="O71" s="20">
        <v>0</v>
      </c>
      <c r="P71" s="41">
        <v>1808.8600000000001</v>
      </c>
      <c r="Q71" s="41">
        <v>362.87999999999994</v>
      </c>
      <c r="R71" s="41">
        <v>2410.1099999999997</v>
      </c>
      <c r="S71" s="41">
        <v>3158.6899999999996</v>
      </c>
      <c r="T71" s="41">
        <v>5633.67</v>
      </c>
      <c r="U71" s="41">
        <v>-2031.1800000000007</v>
      </c>
      <c r="V71" s="41">
        <v>1797.22</v>
      </c>
      <c r="W71" s="41">
        <v>2295.11</v>
      </c>
    </row>
    <row r="72" spans="1:23" hidden="1" x14ac:dyDescent="0.25">
      <c r="A72" s="18">
        <v>2603</v>
      </c>
      <c r="B72" s="19">
        <v>3206</v>
      </c>
      <c r="C72" s="19" t="s">
        <v>140</v>
      </c>
      <c r="D72" s="19" t="s">
        <v>141</v>
      </c>
      <c r="E72" s="19" t="s">
        <v>57</v>
      </c>
      <c r="F72" s="19" t="s">
        <v>58</v>
      </c>
      <c r="G72" s="20" t="str">
        <f>IF(LEN(Table12_52_03[[#This Row],[Ledger Code]])&gt;3,"AR"&amp;Table12_52_03[[#This Row],[Ledger Code]],"TBC")</f>
        <v>AR3206</v>
      </c>
      <c r="H72" s="20">
        <v>0</v>
      </c>
      <c r="I72" s="20">
        <v>0</v>
      </c>
      <c r="J72" s="20">
        <v>0</v>
      </c>
      <c r="K72" s="20">
        <v>0</v>
      </c>
      <c r="L72" s="20">
        <v>0</v>
      </c>
      <c r="M72" s="20">
        <v>0</v>
      </c>
      <c r="N72" s="20">
        <v>0</v>
      </c>
      <c r="O72" s="20">
        <v>0</v>
      </c>
      <c r="P72" s="41">
        <v>1777.57</v>
      </c>
      <c r="Q72" s="41">
        <v>876.13000000000011</v>
      </c>
      <c r="R72" s="41">
        <v>2769.8199999999997</v>
      </c>
      <c r="S72" s="41">
        <v>4395.72</v>
      </c>
      <c r="T72" s="41">
        <v>2669.7299999999996</v>
      </c>
      <c r="U72" s="41">
        <v>1464.1700000000005</v>
      </c>
      <c r="V72" s="41">
        <v>2564.2799999999997</v>
      </c>
      <c r="W72" s="41">
        <v>3223.2200000000003</v>
      </c>
    </row>
    <row r="73" spans="1:23" hidden="1" x14ac:dyDescent="0.25">
      <c r="A73" s="18">
        <v>2610</v>
      </c>
      <c r="B73" s="19">
        <v>3214</v>
      </c>
      <c r="C73" s="19" t="s">
        <v>142</v>
      </c>
      <c r="D73" s="19" t="s">
        <v>143</v>
      </c>
      <c r="E73" s="19" t="s">
        <v>57</v>
      </c>
      <c r="F73" s="19" t="s">
        <v>58</v>
      </c>
      <c r="G73" s="20" t="str">
        <f>IF(LEN(Table12_52_03[[#This Row],[Ledger Code]])&gt;3,"AR"&amp;Table12_52_03[[#This Row],[Ledger Code]],"TBC")</f>
        <v>AR3214</v>
      </c>
      <c r="H73" s="20">
        <v>0</v>
      </c>
      <c r="I73" s="20">
        <v>0</v>
      </c>
      <c r="J73" s="20">
        <v>0</v>
      </c>
      <c r="K73" s="20">
        <v>0</v>
      </c>
      <c r="L73" s="20">
        <v>0</v>
      </c>
      <c r="M73" s="20">
        <v>0</v>
      </c>
      <c r="N73" s="20">
        <v>0</v>
      </c>
      <c r="O73" s="20">
        <v>0</v>
      </c>
      <c r="P73" s="41">
        <v>0</v>
      </c>
      <c r="Q73" s="41">
        <v>0</v>
      </c>
      <c r="R73" s="41">
        <v>0</v>
      </c>
      <c r="S73" s="41">
        <v>0</v>
      </c>
      <c r="T73" s="41">
        <v>0</v>
      </c>
      <c r="U73" s="41">
        <v>362</v>
      </c>
      <c r="V73" s="41">
        <v>0</v>
      </c>
      <c r="W73" s="41">
        <v>0</v>
      </c>
    </row>
    <row r="74" spans="1:23" hidden="1" x14ac:dyDescent="0.25">
      <c r="A74" s="18">
        <v>2611</v>
      </c>
      <c r="B74" s="19">
        <v>3216</v>
      </c>
      <c r="C74" s="19" t="s">
        <v>144</v>
      </c>
      <c r="D74" s="19" t="s">
        <v>145</v>
      </c>
      <c r="E74" s="19" t="s">
        <v>57</v>
      </c>
      <c r="F74" s="19" t="s">
        <v>58</v>
      </c>
      <c r="G74" s="20" t="str">
        <f>IF(LEN(Table12_52_03[[#This Row],[Ledger Code]])&gt;3,"AR"&amp;Table12_52_03[[#This Row],[Ledger Code]],"TBC")</f>
        <v>AR3216</v>
      </c>
      <c r="H74" s="20">
        <v>0</v>
      </c>
      <c r="I74" s="20">
        <v>0</v>
      </c>
      <c r="J74" s="20">
        <v>0</v>
      </c>
      <c r="K74" s="20">
        <v>0</v>
      </c>
      <c r="L74" s="20">
        <v>0</v>
      </c>
      <c r="M74" s="20">
        <v>0</v>
      </c>
      <c r="N74" s="20">
        <v>0</v>
      </c>
      <c r="O74" s="20">
        <v>0</v>
      </c>
      <c r="P74" s="41">
        <v>753.07</v>
      </c>
      <c r="Q74" s="41">
        <v>416.53999999999996</v>
      </c>
      <c r="R74" s="41">
        <v>1358.76</v>
      </c>
      <c r="S74" s="41">
        <v>1542.3300000000002</v>
      </c>
      <c r="T74" s="41">
        <v>1150.78</v>
      </c>
      <c r="U74" s="41">
        <v>718.92000000000007</v>
      </c>
      <c r="V74" s="41">
        <v>889.72</v>
      </c>
      <c r="W74" s="41">
        <v>975.65</v>
      </c>
    </row>
    <row r="75" spans="1:23" hidden="1" x14ac:dyDescent="0.25">
      <c r="A75" s="18">
        <v>2612</v>
      </c>
      <c r="B75" s="19">
        <v>3208</v>
      </c>
      <c r="C75" s="19" t="s">
        <v>146</v>
      </c>
      <c r="D75" s="19" t="s">
        <v>147</v>
      </c>
      <c r="E75" s="19" t="s">
        <v>57</v>
      </c>
      <c r="F75" s="19" t="s">
        <v>58</v>
      </c>
      <c r="G75" s="20" t="str">
        <f>IF(LEN(Table12_52_03[[#This Row],[Ledger Code]])&gt;3,"AR"&amp;Table12_52_03[[#This Row],[Ledger Code]],"TBC")</f>
        <v>AR3208</v>
      </c>
      <c r="H75" s="20">
        <v>0</v>
      </c>
      <c r="I75" s="20">
        <v>0</v>
      </c>
      <c r="J75" s="20">
        <v>0</v>
      </c>
      <c r="K75" s="20">
        <v>0</v>
      </c>
      <c r="L75" s="20">
        <v>0</v>
      </c>
      <c r="M75" s="20">
        <v>0</v>
      </c>
      <c r="N75" s="20">
        <v>0</v>
      </c>
      <c r="O75" s="20">
        <v>0</v>
      </c>
      <c r="P75" s="41">
        <v>1429.1399999999999</v>
      </c>
      <c r="Q75" s="41">
        <v>378.61</v>
      </c>
      <c r="R75" s="41">
        <v>2044.6400000000003</v>
      </c>
      <c r="S75" s="41">
        <v>3151.22</v>
      </c>
      <c r="T75" s="41">
        <v>1972.97</v>
      </c>
      <c r="U75" s="41">
        <v>1065.3800000000001</v>
      </c>
      <c r="V75" s="41">
        <v>1205.33</v>
      </c>
      <c r="W75" s="41">
        <v>2192.7399999999998</v>
      </c>
    </row>
    <row r="76" spans="1:23" hidden="1" x14ac:dyDescent="0.25">
      <c r="A76" s="18">
        <v>2640</v>
      </c>
      <c r="B76" s="19">
        <v>3394</v>
      </c>
      <c r="C76" s="19" t="s">
        <v>148</v>
      </c>
      <c r="D76" s="19" t="s">
        <v>149</v>
      </c>
      <c r="E76" s="19" t="s">
        <v>57</v>
      </c>
      <c r="F76" s="19" t="s">
        <v>58</v>
      </c>
      <c r="G76" s="20" t="str">
        <f>IF(LEN(Table12_52_03[[#This Row],[Ledger Code]])&gt;3,"AR"&amp;Table12_52_03[[#This Row],[Ledger Code]],"TBC")</f>
        <v>AR3394</v>
      </c>
      <c r="H76" s="20">
        <v>0</v>
      </c>
      <c r="I76" s="20">
        <v>0</v>
      </c>
      <c r="J76" s="20">
        <v>0</v>
      </c>
      <c r="K76" s="20">
        <v>0</v>
      </c>
      <c r="L76" s="20">
        <v>0</v>
      </c>
      <c r="M76" s="20">
        <v>0</v>
      </c>
      <c r="N76" s="20">
        <v>0</v>
      </c>
      <c r="O76" s="20">
        <v>0</v>
      </c>
      <c r="P76" s="41">
        <v>461.57</v>
      </c>
      <c r="Q76" s="41">
        <v>1115.9599999999998</v>
      </c>
      <c r="R76" s="41">
        <v>1921.0100000000002</v>
      </c>
      <c r="S76" s="41">
        <v>3283.3500000000004</v>
      </c>
      <c r="T76" s="41">
        <v>644.54999999999995</v>
      </c>
      <c r="U76" s="41">
        <v>513.40000000000032</v>
      </c>
      <c r="V76" s="41">
        <v>1444.7499999999995</v>
      </c>
      <c r="W76" s="41">
        <v>1467.3600000000006</v>
      </c>
    </row>
    <row r="77" spans="1:23" hidden="1" x14ac:dyDescent="0.25">
      <c r="A77" s="18">
        <v>2643</v>
      </c>
      <c r="B77" s="19">
        <v>3398</v>
      </c>
      <c r="C77" s="19" t="s">
        <v>150</v>
      </c>
      <c r="D77" s="19" t="s">
        <v>151</v>
      </c>
      <c r="E77" s="19" t="s">
        <v>57</v>
      </c>
      <c r="F77" s="19" t="s">
        <v>58</v>
      </c>
      <c r="G77" s="20" t="str">
        <f>IF(LEN(Table12_52_03[[#This Row],[Ledger Code]])&gt;3,"AR"&amp;Table12_52_03[[#This Row],[Ledger Code]],"TBC")</f>
        <v>AR3398</v>
      </c>
      <c r="H77" s="20">
        <v>0</v>
      </c>
      <c r="I77" s="20">
        <v>0</v>
      </c>
      <c r="J77" s="20">
        <v>0</v>
      </c>
      <c r="K77" s="20">
        <v>0</v>
      </c>
      <c r="L77" s="20">
        <v>0</v>
      </c>
      <c r="M77" s="20">
        <v>0</v>
      </c>
      <c r="N77" s="20">
        <v>0</v>
      </c>
      <c r="O77" s="20">
        <v>0</v>
      </c>
      <c r="P77" s="41">
        <v>248.12</v>
      </c>
      <c r="Q77" s="41">
        <v>-5.6843418860808015E-13</v>
      </c>
      <c r="R77" s="41">
        <v>1681.1599999999989</v>
      </c>
      <c r="S77" s="41">
        <v>3757.61</v>
      </c>
      <c r="T77" s="41">
        <v>3606.7099999999996</v>
      </c>
      <c r="U77" s="41">
        <v>920.05000000000018</v>
      </c>
      <c r="V77" s="41">
        <v>1795.349999999999</v>
      </c>
      <c r="W77" s="41">
        <v>0</v>
      </c>
    </row>
    <row r="78" spans="1:23" hidden="1" x14ac:dyDescent="0.25">
      <c r="A78" s="18">
        <v>2647</v>
      </c>
      <c r="B78" s="19">
        <v>3404</v>
      </c>
      <c r="C78" s="19" t="s">
        <v>152</v>
      </c>
      <c r="D78" s="19" t="s">
        <v>153</v>
      </c>
      <c r="E78" s="19" t="s">
        <v>57</v>
      </c>
      <c r="F78" s="19" t="s">
        <v>58</v>
      </c>
      <c r="G78" s="20" t="str">
        <f>IF(LEN(Table12_52_03[[#This Row],[Ledger Code]])&gt;3,"AR"&amp;Table12_52_03[[#This Row],[Ledger Code]],"TBC")</f>
        <v>AR3404</v>
      </c>
      <c r="H78" s="20">
        <v>0</v>
      </c>
      <c r="I78" s="20">
        <v>0</v>
      </c>
      <c r="J78" s="20">
        <v>0</v>
      </c>
      <c r="K78" s="20">
        <v>0</v>
      </c>
      <c r="L78" s="20">
        <v>0</v>
      </c>
      <c r="M78" s="20">
        <v>0</v>
      </c>
      <c r="N78" s="20">
        <v>0</v>
      </c>
      <c r="O78" s="20">
        <v>0</v>
      </c>
      <c r="P78" s="41">
        <v>0</v>
      </c>
      <c r="Q78" s="41">
        <v>0</v>
      </c>
      <c r="R78" s="41">
        <v>0</v>
      </c>
      <c r="S78" s="41">
        <v>0</v>
      </c>
      <c r="T78" s="41">
        <v>0</v>
      </c>
      <c r="U78" s="41">
        <v>0</v>
      </c>
      <c r="V78" s="41">
        <v>0</v>
      </c>
      <c r="W78" s="41">
        <v>0</v>
      </c>
    </row>
    <row r="79" spans="1:23" hidden="1" x14ac:dyDescent="0.25">
      <c r="A79" s="18">
        <v>2648</v>
      </c>
      <c r="B79" s="19">
        <v>3409</v>
      </c>
      <c r="C79" s="19" t="s">
        <v>332</v>
      </c>
      <c r="D79" s="19" t="s">
        <v>333</v>
      </c>
      <c r="E79" s="19" t="s">
        <v>57</v>
      </c>
      <c r="F79" s="19" t="s">
        <v>58</v>
      </c>
      <c r="G79" s="20" t="str">
        <f>IF(LEN(Table12_52_03[[#This Row],[Ledger Code]])&gt;3,"AR"&amp;Table12_52_03[[#This Row],[Ledger Code]],"TBC")</f>
        <v>AR3409</v>
      </c>
      <c r="H79" s="20">
        <v>0</v>
      </c>
      <c r="I79" s="20">
        <v>0</v>
      </c>
      <c r="J79" s="20">
        <v>0</v>
      </c>
      <c r="K79" s="20">
        <v>0</v>
      </c>
      <c r="L79" s="20">
        <v>0</v>
      </c>
      <c r="M79" s="20">
        <v>0</v>
      </c>
      <c r="N79" s="20">
        <v>0</v>
      </c>
      <c r="O79" s="20">
        <v>0</v>
      </c>
      <c r="P79" s="41">
        <v>0</v>
      </c>
      <c r="Q79" s="41">
        <v>0</v>
      </c>
      <c r="R79" s="41">
        <v>0</v>
      </c>
      <c r="S79" s="41">
        <v>0</v>
      </c>
      <c r="T79" s="41">
        <v>18875.52</v>
      </c>
      <c r="U79" s="41">
        <v>0</v>
      </c>
      <c r="V79" s="41">
        <v>0</v>
      </c>
      <c r="W79" s="41">
        <v>0</v>
      </c>
    </row>
    <row r="80" spans="1:23" hidden="1" x14ac:dyDescent="0.25">
      <c r="A80" s="18">
        <v>2656</v>
      </c>
      <c r="B80" s="19">
        <v>3415</v>
      </c>
      <c r="C80" s="19" t="s">
        <v>154</v>
      </c>
      <c r="D80" s="19" t="s">
        <v>115</v>
      </c>
      <c r="E80" s="19" t="s">
        <v>57</v>
      </c>
      <c r="F80" s="19" t="s">
        <v>58</v>
      </c>
      <c r="G80" s="20" t="str">
        <f>IF(LEN(Table12_52_03[[#This Row],[Ledger Code]])&gt;3,"AR"&amp;Table12_52_03[[#This Row],[Ledger Code]],"TBC")</f>
        <v>AR3415</v>
      </c>
      <c r="H80" s="20">
        <v>0</v>
      </c>
      <c r="I80" s="20">
        <v>0</v>
      </c>
      <c r="J80" s="20">
        <v>0</v>
      </c>
      <c r="K80" s="20">
        <v>0</v>
      </c>
      <c r="L80" s="20">
        <v>0</v>
      </c>
      <c r="M80" s="20">
        <v>0</v>
      </c>
      <c r="N80" s="20">
        <v>0</v>
      </c>
      <c r="O80" s="20">
        <v>0</v>
      </c>
      <c r="P80" s="41">
        <v>0</v>
      </c>
      <c r="Q80" s="41">
        <v>0</v>
      </c>
      <c r="R80" s="41">
        <v>0</v>
      </c>
      <c r="S80" s="41">
        <v>0</v>
      </c>
      <c r="T80" s="41">
        <v>0</v>
      </c>
      <c r="U80" s="41">
        <v>0</v>
      </c>
      <c r="V80" s="41">
        <v>0</v>
      </c>
      <c r="W80" s="41">
        <v>0</v>
      </c>
    </row>
    <row r="81" spans="1:23" hidden="1" x14ac:dyDescent="0.25">
      <c r="A81" s="18">
        <v>2658</v>
      </c>
      <c r="B81" s="19">
        <v>3418</v>
      </c>
      <c r="C81" s="19" t="s">
        <v>155</v>
      </c>
      <c r="D81" s="19" t="s">
        <v>115</v>
      </c>
      <c r="E81" s="19" t="s">
        <v>57</v>
      </c>
      <c r="F81" s="19" t="s">
        <v>58</v>
      </c>
      <c r="G81" s="20" t="str">
        <f>IF(LEN(Table12_52_03[[#This Row],[Ledger Code]])&gt;3,"AR"&amp;Table12_52_03[[#This Row],[Ledger Code]],"TBC")</f>
        <v>AR3418</v>
      </c>
      <c r="H81" s="20">
        <v>0</v>
      </c>
      <c r="I81" s="20">
        <v>0</v>
      </c>
      <c r="J81" s="20">
        <v>0</v>
      </c>
      <c r="K81" s="20">
        <v>0</v>
      </c>
      <c r="L81" s="20">
        <v>0</v>
      </c>
      <c r="M81" s="20">
        <v>0</v>
      </c>
      <c r="N81" s="20">
        <v>0</v>
      </c>
      <c r="O81" s="20">
        <v>0</v>
      </c>
      <c r="P81" s="41">
        <v>0</v>
      </c>
      <c r="Q81" s="41">
        <v>0</v>
      </c>
      <c r="R81" s="41">
        <v>0</v>
      </c>
      <c r="S81" s="41">
        <v>0</v>
      </c>
      <c r="T81" s="41">
        <v>0</v>
      </c>
      <c r="U81" s="41">
        <v>0</v>
      </c>
      <c r="V81" s="41">
        <v>0</v>
      </c>
      <c r="W81" s="41">
        <v>0</v>
      </c>
    </row>
    <row r="82" spans="1:23" hidden="1" x14ac:dyDescent="0.25">
      <c r="A82" s="18">
        <v>2659</v>
      </c>
      <c r="B82" s="19">
        <v>3419</v>
      </c>
      <c r="C82" s="19" t="s">
        <v>156</v>
      </c>
      <c r="D82" s="19" t="s">
        <v>115</v>
      </c>
      <c r="E82" s="19" t="s">
        <v>57</v>
      </c>
      <c r="F82" s="19" t="s">
        <v>58</v>
      </c>
      <c r="G82" s="20" t="str">
        <f>IF(LEN(Table12_52_03[[#This Row],[Ledger Code]])&gt;3,"AR"&amp;Table12_52_03[[#This Row],[Ledger Code]],"TBC")</f>
        <v>AR3419</v>
      </c>
      <c r="H82" s="20">
        <v>0</v>
      </c>
      <c r="I82" s="20">
        <v>0</v>
      </c>
      <c r="J82" s="20">
        <v>0</v>
      </c>
      <c r="K82" s="20">
        <v>0</v>
      </c>
      <c r="L82" s="20">
        <v>0</v>
      </c>
      <c r="M82" s="20">
        <v>0</v>
      </c>
      <c r="N82" s="20">
        <v>0</v>
      </c>
      <c r="O82" s="20">
        <v>0</v>
      </c>
      <c r="P82" s="41">
        <v>0</v>
      </c>
      <c r="Q82" s="41">
        <v>0</v>
      </c>
      <c r="R82" s="41">
        <v>0</v>
      </c>
      <c r="S82" s="41">
        <v>0</v>
      </c>
      <c r="T82" s="41">
        <v>0</v>
      </c>
      <c r="U82" s="41">
        <v>0</v>
      </c>
      <c r="V82" s="41">
        <v>0</v>
      </c>
      <c r="W82" s="41">
        <v>0</v>
      </c>
    </row>
    <row r="83" spans="1:23" hidden="1" x14ac:dyDescent="0.25">
      <c r="A83" s="18">
        <v>2660</v>
      </c>
      <c r="B83" s="19">
        <v>3420</v>
      </c>
      <c r="C83" s="19" t="s">
        <v>157</v>
      </c>
      <c r="D83" s="19" t="s">
        <v>115</v>
      </c>
      <c r="E83" s="19" t="s">
        <v>57</v>
      </c>
      <c r="F83" s="19" t="s">
        <v>58</v>
      </c>
      <c r="G83" s="20" t="str">
        <f>IF(LEN(Table12_52_03[[#This Row],[Ledger Code]])&gt;3,"AR"&amp;Table12_52_03[[#This Row],[Ledger Code]],"TBC")</f>
        <v>AR3420</v>
      </c>
      <c r="H83" s="20">
        <v>0</v>
      </c>
      <c r="I83" s="20">
        <v>0</v>
      </c>
      <c r="J83" s="20">
        <v>0</v>
      </c>
      <c r="K83" s="20">
        <v>0</v>
      </c>
      <c r="L83" s="20">
        <v>0</v>
      </c>
      <c r="M83" s="20">
        <v>0</v>
      </c>
      <c r="N83" s="20">
        <v>0</v>
      </c>
      <c r="O83" s="20">
        <v>0</v>
      </c>
      <c r="P83" s="41">
        <v>0</v>
      </c>
      <c r="Q83" s="41">
        <v>0</v>
      </c>
      <c r="R83" s="41">
        <v>0</v>
      </c>
      <c r="S83" s="41">
        <v>0</v>
      </c>
      <c r="T83" s="41">
        <v>0</v>
      </c>
      <c r="U83" s="41">
        <v>0</v>
      </c>
      <c r="V83" s="41">
        <v>0</v>
      </c>
      <c r="W83" s="41">
        <v>0</v>
      </c>
    </row>
    <row r="84" spans="1:23" hidden="1" x14ac:dyDescent="0.25">
      <c r="A84" s="18">
        <v>2711</v>
      </c>
      <c r="B84" s="19">
        <v>3509</v>
      </c>
      <c r="C84" s="19" t="s">
        <v>158</v>
      </c>
      <c r="D84" s="19" t="s">
        <v>159</v>
      </c>
      <c r="E84" s="19" t="s">
        <v>57</v>
      </c>
      <c r="F84" s="19" t="s">
        <v>58</v>
      </c>
      <c r="G84" s="20" t="str">
        <f>IF(LEN(Table12_52_03[[#This Row],[Ledger Code]])&gt;3,"AR"&amp;Table12_52_03[[#This Row],[Ledger Code]],"TBC")</f>
        <v>AR3509</v>
      </c>
      <c r="H84" s="20">
        <v>0</v>
      </c>
      <c r="I84" s="20">
        <v>0</v>
      </c>
      <c r="J84" s="20">
        <v>0</v>
      </c>
      <c r="K84" s="20">
        <v>0</v>
      </c>
      <c r="L84" s="20">
        <v>0</v>
      </c>
      <c r="M84" s="20">
        <v>0</v>
      </c>
      <c r="N84" s="20">
        <v>0</v>
      </c>
      <c r="O84" s="20">
        <v>0</v>
      </c>
      <c r="P84" s="41">
        <v>0</v>
      </c>
      <c r="Q84" s="41">
        <v>0</v>
      </c>
      <c r="R84" s="41">
        <v>0</v>
      </c>
      <c r="S84" s="41">
        <v>0</v>
      </c>
      <c r="T84" s="41">
        <v>0</v>
      </c>
      <c r="U84" s="41">
        <v>0</v>
      </c>
      <c r="V84" s="41">
        <v>0</v>
      </c>
      <c r="W84" s="41">
        <v>0</v>
      </c>
    </row>
    <row r="85" spans="1:23" hidden="1" x14ac:dyDescent="0.25">
      <c r="A85" s="18">
        <v>2713</v>
      </c>
      <c r="B85" s="19">
        <v>3511</v>
      </c>
      <c r="C85" s="19" t="s">
        <v>160</v>
      </c>
      <c r="D85" s="19" t="s">
        <v>159</v>
      </c>
      <c r="E85" s="19" t="s">
        <v>57</v>
      </c>
      <c r="F85" s="19" t="s">
        <v>58</v>
      </c>
      <c r="G85" s="20" t="str">
        <f>IF(LEN(Table12_52_03[[#This Row],[Ledger Code]])&gt;3,"AR"&amp;Table12_52_03[[#This Row],[Ledger Code]],"TBC")</f>
        <v>AR3511</v>
      </c>
      <c r="H85" s="20">
        <v>0</v>
      </c>
      <c r="I85" s="20">
        <v>0</v>
      </c>
      <c r="J85" s="20">
        <v>0</v>
      </c>
      <c r="K85" s="20">
        <v>0</v>
      </c>
      <c r="L85" s="20">
        <v>0</v>
      </c>
      <c r="M85" s="20">
        <v>0</v>
      </c>
      <c r="N85" s="20">
        <v>0</v>
      </c>
      <c r="O85" s="20">
        <v>0</v>
      </c>
      <c r="P85" s="41">
        <v>0</v>
      </c>
      <c r="Q85" s="41">
        <v>0</v>
      </c>
      <c r="R85" s="41">
        <v>0</v>
      </c>
      <c r="S85" s="41">
        <v>0</v>
      </c>
      <c r="T85" s="41">
        <v>0</v>
      </c>
      <c r="U85" s="41">
        <v>0</v>
      </c>
      <c r="V85" s="41">
        <v>0</v>
      </c>
      <c r="W85" s="41">
        <v>0</v>
      </c>
    </row>
    <row r="86" spans="1:23" hidden="1" x14ac:dyDescent="0.25">
      <c r="A86" s="18">
        <v>2727</v>
      </c>
      <c r="B86" s="19">
        <v>3545</v>
      </c>
      <c r="C86" s="19" t="s">
        <v>161</v>
      </c>
      <c r="D86" s="19" t="s">
        <v>162</v>
      </c>
      <c r="E86" s="19" t="s">
        <v>57</v>
      </c>
      <c r="F86" s="19" t="s">
        <v>58</v>
      </c>
      <c r="G86" s="20" t="str">
        <f>IF(LEN(Table12_52_03[[#This Row],[Ledger Code]])&gt;3,"AR"&amp;Table12_52_03[[#This Row],[Ledger Code]],"TBC")</f>
        <v>AR3545</v>
      </c>
      <c r="H86" s="20">
        <v>0</v>
      </c>
      <c r="I86" s="20">
        <v>0</v>
      </c>
      <c r="J86" s="20">
        <v>0</v>
      </c>
      <c r="K86" s="20">
        <v>0</v>
      </c>
      <c r="L86" s="20">
        <v>0</v>
      </c>
      <c r="M86" s="20">
        <v>0</v>
      </c>
      <c r="N86" s="20">
        <v>0</v>
      </c>
      <c r="O86" s="20">
        <v>0</v>
      </c>
      <c r="P86" s="41">
        <v>125.98000000000002</v>
      </c>
      <c r="Q86" s="41">
        <v>388.16</v>
      </c>
      <c r="R86" s="41">
        <v>354.27999999999975</v>
      </c>
      <c r="S86" s="41">
        <v>333.75</v>
      </c>
      <c r="T86" s="41">
        <v>136.54</v>
      </c>
      <c r="U86" s="41">
        <v>495.30999999999983</v>
      </c>
      <c r="V86" s="41">
        <v>201.78</v>
      </c>
      <c r="W86" s="41">
        <v>285.83000000000004</v>
      </c>
    </row>
    <row r="87" spans="1:23" hidden="1" x14ac:dyDescent="0.25">
      <c r="A87" s="18">
        <v>2733</v>
      </c>
      <c r="B87" s="19">
        <v>3550</v>
      </c>
      <c r="C87" s="19" t="s">
        <v>163</v>
      </c>
      <c r="D87" s="19" t="s">
        <v>164</v>
      </c>
      <c r="E87" s="19" t="s">
        <v>57</v>
      </c>
      <c r="F87" s="19" t="s">
        <v>58</v>
      </c>
      <c r="G87" s="20" t="str">
        <f>IF(LEN(Table12_52_03[[#This Row],[Ledger Code]])&gt;3,"AR"&amp;Table12_52_03[[#This Row],[Ledger Code]],"TBC")</f>
        <v>AR3550</v>
      </c>
      <c r="H87" s="20">
        <v>0</v>
      </c>
      <c r="I87" s="20">
        <v>0</v>
      </c>
      <c r="J87" s="20">
        <v>0</v>
      </c>
      <c r="K87" s="20">
        <v>0</v>
      </c>
      <c r="L87" s="20">
        <v>0</v>
      </c>
      <c r="M87" s="20">
        <v>0</v>
      </c>
      <c r="N87" s="20">
        <v>0</v>
      </c>
      <c r="O87" s="20">
        <v>0</v>
      </c>
      <c r="P87" s="41">
        <v>0</v>
      </c>
      <c r="Q87" s="41">
        <v>0</v>
      </c>
      <c r="R87" s="41">
        <v>0</v>
      </c>
      <c r="S87" s="41">
        <v>0</v>
      </c>
      <c r="T87" s="41">
        <v>0</v>
      </c>
      <c r="U87" s="41">
        <v>0</v>
      </c>
      <c r="V87" s="41">
        <v>0</v>
      </c>
      <c r="W87" s="41">
        <v>0</v>
      </c>
    </row>
    <row r="88" spans="1:23" hidden="1" x14ac:dyDescent="0.25">
      <c r="A88" s="18">
        <v>2933</v>
      </c>
      <c r="B88" s="19">
        <v>6182</v>
      </c>
      <c r="C88" s="19" t="s">
        <v>165</v>
      </c>
      <c r="D88" s="19" t="s">
        <v>166</v>
      </c>
      <c r="E88" s="19" t="s">
        <v>9</v>
      </c>
      <c r="F88" s="19" t="s">
        <v>83</v>
      </c>
      <c r="G88" s="20" t="str">
        <f>IF(LEN(Table12_52_03[[#This Row],[Ledger Code]])&gt;3,"AR"&amp;Table12_52_03[[#This Row],[Ledger Code]],"TBC")</f>
        <v>AR6182</v>
      </c>
      <c r="H88" s="20">
        <v>0</v>
      </c>
      <c r="I88" s="20">
        <v>0</v>
      </c>
      <c r="J88" s="20">
        <v>0</v>
      </c>
      <c r="K88" s="20">
        <v>0</v>
      </c>
      <c r="L88" s="20">
        <v>0</v>
      </c>
      <c r="M88" s="20">
        <v>64694</v>
      </c>
      <c r="N88" s="20">
        <v>119622</v>
      </c>
      <c r="O88" s="20">
        <v>160053</v>
      </c>
      <c r="P88" s="41">
        <v>0</v>
      </c>
      <c r="Q88" s="41">
        <v>0</v>
      </c>
      <c r="R88" s="41">
        <v>0</v>
      </c>
      <c r="S88" s="41">
        <v>0</v>
      </c>
      <c r="T88" s="41">
        <v>0</v>
      </c>
      <c r="U88" s="41">
        <v>1270.48</v>
      </c>
      <c r="V88" s="41">
        <v>3422.51</v>
      </c>
      <c r="W88" s="41">
        <v>4481.16</v>
      </c>
    </row>
    <row r="89" spans="1:23" hidden="1" x14ac:dyDescent="0.25">
      <c r="A89" s="18">
        <v>2993</v>
      </c>
      <c r="B89" s="19">
        <v>6379</v>
      </c>
      <c r="C89" s="19" t="s">
        <v>167</v>
      </c>
      <c r="D89" s="19" t="s">
        <v>168</v>
      </c>
      <c r="E89" s="19" t="s">
        <v>9</v>
      </c>
      <c r="F89" s="19" t="s">
        <v>83</v>
      </c>
      <c r="G89" s="20" t="str">
        <f>IF(LEN(Table12_52_03[[#This Row],[Ledger Code]])&gt;3,"AR"&amp;Table12_52_03[[#This Row],[Ledger Code]],"TBC")</f>
        <v>AR6379</v>
      </c>
      <c r="H89" s="20">
        <v>0</v>
      </c>
      <c r="I89" s="20">
        <v>0</v>
      </c>
      <c r="J89" s="20">
        <v>0</v>
      </c>
      <c r="K89" s="20">
        <v>0</v>
      </c>
      <c r="L89" s="20">
        <v>0</v>
      </c>
      <c r="M89" s="20">
        <v>0</v>
      </c>
      <c r="N89" s="20">
        <v>0</v>
      </c>
      <c r="O89" s="20">
        <v>0</v>
      </c>
      <c r="P89" s="41">
        <v>0</v>
      </c>
      <c r="Q89" s="41">
        <v>0</v>
      </c>
      <c r="R89" s="41">
        <v>0</v>
      </c>
      <c r="S89" s="41">
        <v>0</v>
      </c>
      <c r="T89" s="41">
        <v>0</v>
      </c>
      <c r="U89" s="41">
        <v>0</v>
      </c>
      <c r="V89" s="41">
        <v>0</v>
      </c>
      <c r="W89" s="41">
        <v>0</v>
      </c>
    </row>
    <row r="90" spans="1:23" hidden="1" x14ac:dyDescent="0.25">
      <c r="A90" s="18">
        <v>2994</v>
      </c>
      <c r="B90" s="19">
        <v>6380</v>
      </c>
      <c r="C90" s="19" t="s">
        <v>169</v>
      </c>
      <c r="D90" s="19" t="s">
        <v>170</v>
      </c>
      <c r="E90" s="19" t="s">
        <v>9</v>
      </c>
      <c r="F90" s="19" t="s">
        <v>83</v>
      </c>
      <c r="G90" s="20" t="str">
        <f>IF(LEN(Table12_52_03[[#This Row],[Ledger Code]])&gt;3,"AR"&amp;Table12_52_03[[#This Row],[Ledger Code]],"TBC")</f>
        <v>AR6380</v>
      </c>
      <c r="H90" s="20">
        <v>48648</v>
      </c>
      <c r="I90" s="20">
        <v>7149</v>
      </c>
      <c r="J90" s="20">
        <v>39112</v>
      </c>
      <c r="K90" s="20">
        <v>70020</v>
      </c>
      <c r="L90" s="20">
        <v>39390</v>
      </c>
      <c r="M90" s="20">
        <v>16830</v>
      </c>
      <c r="N90" s="20">
        <v>36084</v>
      </c>
      <c r="O90" s="20">
        <v>111541</v>
      </c>
      <c r="P90" s="41">
        <v>0</v>
      </c>
      <c r="Q90" s="41">
        <v>1918.5300000000002</v>
      </c>
      <c r="R90" s="41">
        <v>1420.3799999999999</v>
      </c>
      <c r="S90" s="41">
        <v>2427.17</v>
      </c>
      <c r="T90" s="41">
        <v>1473.26</v>
      </c>
      <c r="U90" s="41">
        <v>607.12</v>
      </c>
      <c r="V90" s="41">
        <v>1412.09</v>
      </c>
      <c r="W90" s="41">
        <v>2741.06</v>
      </c>
    </row>
    <row r="91" spans="1:23" hidden="1" x14ac:dyDescent="0.25">
      <c r="A91" s="18">
        <v>3017</v>
      </c>
      <c r="B91" s="19">
        <v>6230</v>
      </c>
      <c r="C91" s="19" t="s">
        <v>171</v>
      </c>
      <c r="D91" s="19" t="s">
        <v>172</v>
      </c>
      <c r="E91" s="19" t="s">
        <v>9</v>
      </c>
      <c r="F91" s="19" t="s">
        <v>83</v>
      </c>
      <c r="G91" s="20" t="str">
        <f>IF(LEN(Table12_52_03[[#This Row],[Ledger Code]])&gt;3,"AR"&amp;Table12_52_03[[#This Row],[Ledger Code]],"TBC")</f>
        <v>AR6230</v>
      </c>
      <c r="H91" s="20">
        <v>0</v>
      </c>
      <c r="I91" s="20">
        <v>0</v>
      </c>
      <c r="J91" s="20">
        <v>27783</v>
      </c>
      <c r="K91" s="20">
        <v>145101</v>
      </c>
      <c r="L91" s="20">
        <v>22585</v>
      </c>
      <c r="M91" s="20">
        <v>6522</v>
      </c>
      <c r="N91" s="20">
        <v>86833</v>
      </c>
      <c r="O91" s="20">
        <v>122970</v>
      </c>
      <c r="P91" s="41">
        <v>0</v>
      </c>
      <c r="Q91" s="41">
        <v>0</v>
      </c>
      <c r="R91" s="41">
        <v>0</v>
      </c>
      <c r="S91" s="41">
        <v>3949.92</v>
      </c>
      <c r="T91" s="41">
        <v>2309.88</v>
      </c>
      <c r="U91" s="41">
        <v>775.57</v>
      </c>
      <c r="V91" s="41">
        <v>2000.06</v>
      </c>
      <c r="W91" s="41">
        <v>3617.99</v>
      </c>
    </row>
    <row r="92" spans="1:23" hidden="1" x14ac:dyDescent="0.25">
      <c r="A92" s="18">
        <v>3085</v>
      </c>
      <c r="B92" s="19">
        <v>8445</v>
      </c>
      <c r="C92" s="19" t="s">
        <v>173</v>
      </c>
      <c r="D92" s="19" t="s">
        <v>174</v>
      </c>
      <c r="E92" s="19" t="s">
        <v>26</v>
      </c>
      <c r="F92" s="19" t="s">
        <v>175</v>
      </c>
      <c r="G92" s="20" t="str">
        <f>IF(LEN(Table12_52_03[[#This Row],[Ledger Code]])&gt;3,"AR"&amp;Table12_52_03[[#This Row],[Ledger Code]],"TBC")</f>
        <v>AR8445</v>
      </c>
      <c r="H92" s="20">
        <v>0</v>
      </c>
      <c r="I92" s="20">
        <v>0</v>
      </c>
      <c r="J92" s="20">
        <v>0</v>
      </c>
      <c r="K92" s="20">
        <v>0</v>
      </c>
      <c r="L92" s="20">
        <v>0</v>
      </c>
      <c r="M92" s="20">
        <v>0</v>
      </c>
      <c r="N92" s="20">
        <v>0</v>
      </c>
      <c r="O92" s="20">
        <v>0</v>
      </c>
      <c r="P92" s="41">
        <v>0</v>
      </c>
      <c r="Q92" s="41">
        <v>0</v>
      </c>
      <c r="R92" s="41">
        <v>0</v>
      </c>
      <c r="S92" s="41">
        <v>0</v>
      </c>
      <c r="T92" s="41">
        <v>0</v>
      </c>
      <c r="U92" s="41">
        <v>0</v>
      </c>
      <c r="V92" s="41">
        <v>0</v>
      </c>
      <c r="W92" s="41">
        <v>0</v>
      </c>
    </row>
    <row r="93" spans="1:23" hidden="1" x14ac:dyDescent="0.25">
      <c r="A93" s="18">
        <v>3098</v>
      </c>
      <c r="B93" s="19">
        <v>8463</v>
      </c>
      <c r="C93" s="19" t="s">
        <v>176</v>
      </c>
      <c r="D93" s="19" t="s">
        <v>177</v>
      </c>
      <c r="E93" s="19" t="s">
        <v>26</v>
      </c>
      <c r="F93" s="19" t="s">
        <v>175</v>
      </c>
      <c r="G93" s="20" t="str">
        <f>IF(LEN(Table12_52_03[[#This Row],[Ledger Code]])&gt;3,"AR"&amp;Table12_52_03[[#This Row],[Ledger Code]],"TBC")</f>
        <v>AR8463</v>
      </c>
      <c r="H93" s="20">
        <v>0</v>
      </c>
      <c r="I93" s="20">
        <v>0</v>
      </c>
      <c r="J93" s="20">
        <v>0</v>
      </c>
      <c r="K93" s="20">
        <v>0</v>
      </c>
      <c r="L93" s="20">
        <v>0</v>
      </c>
      <c r="M93" s="20">
        <v>0</v>
      </c>
      <c r="N93" s="20">
        <v>0</v>
      </c>
      <c r="O93" s="20">
        <v>0</v>
      </c>
      <c r="P93" s="41">
        <v>0</v>
      </c>
      <c r="Q93" s="41">
        <v>0</v>
      </c>
      <c r="R93" s="41">
        <v>0</v>
      </c>
      <c r="S93" s="41">
        <v>0</v>
      </c>
      <c r="T93" s="41">
        <v>0</v>
      </c>
      <c r="U93" s="41">
        <v>0</v>
      </c>
      <c r="V93" s="41">
        <v>0</v>
      </c>
      <c r="W93" s="41">
        <v>0</v>
      </c>
    </row>
    <row r="94" spans="1:23" hidden="1" x14ac:dyDescent="0.25">
      <c r="A94" s="18">
        <v>3152</v>
      </c>
      <c r="B94" s="19">
        <v>8492</v>
      </c>
      <c r="C94" s="19" t="s">
        <v>178</v>
      </c>
      <c r="D94" s="19" t="s">
        <v>179</v>
      </c>
      <c r="E94" s="19" t="s">
        <v>26</v>
      </c>
      <c r="F94" s="19" t="s">
        <v>175</v>
      </c>
      <c r="G94" s="20" t="str">
        <f>IF(LEN(Table12_52_03[[#This Row],[Ledger Code]])&gt;3,"AR"&amp;Table12_52_03[[#This Row],[Ledger Code]],"TBC")</f>
        <v>AR8492</v>
      </c>
      <c r="H94" s="20">
        <v>0</v>
      </c>
      <c r="I94" s="20">
        <v>0</v>
      </c>
      <c r="J94" s="20">
        <v>0</v>
      </c>
      <c r="K94" s="20">
        <v>0</v>
      </c>
      <c r="L94" s="20">
        <v>0</v>
      </c>
      <c r="M94" s="20">
        <v>0</v>
      </c>
      <c r="N94" s="20">
        <v>0</v>
      </c>
      <c r="O94" s="20">
        <v>0</v>
      </c>
      <c r="P94" s="41">
        <v>0</v>
      </c>
      <c r="Q94" s="41">
        <v>0</v>
      </c>
      <c r="R94" s="41">
        <v>0</v>
      </c>
      <c r="S94" s="41">
        <v>0</v>
      </c>
      <c r="T94" s="41">
        <v>0</v>
      </c>
      <c r="U94" s="41">
        <v>0</v>
      </c>
      <c r="V94" s="41">
        <v>0</v>
      </c>
      <c r="W94" s="41">
        <v>0</v>
      </c>
    </row>
    <row r="95" spans="1:23" hidden="1" x14ac:dyDescent="0.25">
      <c r="A95" s="18">
        <v>3169</v>
      </c>
      <c r="B95" s="19">
        <v>8514</v>
      </c>
      <c r="C95" s="19" t="s">
        <v>341</v>
      </c>
      <c r="D95" s="19">
        <v>0</v>
      </c>
      <c r="E95" s="19" t="s">
        <v>26</v>
      </c>
      <c r="F95" s="19" t="s">
        <v>175</v>
      </c>
      <c r="G95" s="20" t="str">
        <f>IF(LEN(Table12_52_03[[#This Row],[Ledger Code]])&gt;3,"AR"&amp;Table12_52_03[[#This Row],[Ledger Code]],"TBC")</f>
        <v>AR8514</v>
      </c>
      <c r="H95" s="20">
        <v>0</v>
      </c>
      <c r="I95" s="20">
        <v>0</v>
      </c>
      <c r="J95" s="20">
        <v>0</v>
      </c>
      <c r="K95" s="20">
        <v>0</v>
      </c>
      <c r="L95" s="20">
        <v>0</v>
      </c>
      <c r="M95" s="20">
        <v>566</v>
      </c>
      <c r="N95" s="20">
        <v>3322</v>
      </c>
      <c r="O95" s="20">
        <v>3060</v>
      </c>
      <c r="P95" s="41">
        <v>0</v>
      </c>
      <c r="Q95" s="41">
        <v>767.55</v>
      </c>
      <c r="R95" s="41">
        <v>228.89000000000001</v>
      </c>
      <c r="S95" s="41">
        <v>568.77</v>
      </c>
      <c r="T95" s="41">
        <v>388.56000000000017</v>
      </c>
      <c r="U95" s="41">
        <v>499.44</v>
      </c>
      <c r="V95" s="41">
        <v>428.42000000000007</v>
      </c>
      <c r="W95" s="41">
        <v>588.20999999999981</v>
      </c>
    </row>
    <row r="96" spans="1:23" hidden="1" x14ac:dyDescent="0.25">
      <c r="A96" s="18">
        <v>3172</v>
      </c>
      <c r="B96" s="19">
        <v>8517</v>
      </c>
      <c r="C96" s="19" t="s">
        <v>180</v>
      </c>
      <c r="D96" s="19" t="s">
        <v>181</v>
      </c>
      <c r="E96" s="19" t="s">
        <v>26</v>
      </c>
      <c r="F96" s="19" t="s">
        <v>175</v>
      </c>
      <c r="G96" s="20" t="str">
        <f>IF(LEN(Table12_52_03[[#This Row],[Ledger Code]])&gt;3,"AR"&amp;Table12_52_03[[#This Row],[Ledger Code]],"TBC")</f>
        <v>AR8517</v>
      </c>
      <c r="H96" s="20">
        <v>0</v>
      </c>
      <c r="I96" s="20">
        <v>0</v>
      </c>
      <c r="J96" s="20">
        <v>0</v>
      </c>
      <c r="K96" s="20">
        <v>0</v>
      </c>
      <c r="L96" s="20">
        <v>0</v>
      </c>
      <c r="M96" s="20">
        <v>0</v>
      </c>
      <c r="N96" s="20">
        <v>0</v>
      </c>
      <c r="O96" s="20">
        <v>0</v>
      </c>
      <c r="P96" s="41">
        <v>0</v>
      </c>
      <c r="Q96" s="41">
        <v>0</v>
      </c>
      <c r="R96" s="41">
        <v>0</v>
      </c>
      <c r="S96" s="41">
        <v>0</v>
      </c>
      <c r="T96" s="41">
        <v>0</v>
      </c>
      <c r="U96" s="41">
        <v>0</v>
      </c>
      <c r="V96" s="41">
        <v>0</v>
      </c>
      <c r="W96" s="41">
        <v>0</v>
      </c>
    </row>
    <row r="97" spans="1:23" hidden="1" x14ac:dyDescent="0.25">
      <c r="A97" s="18">
        <v>3175</v>
      </c>
      <c r="B97" s="19">
        <v>8520</v>
      </c>
      <c r="C97" s="19" t="s">
        <v>182</v>
      </c>
      <c r="D97" s="19" t="s">
        <v>183</v>
      </c>
      <c r="E97" s="19" t="s">
        <v>26</v>
      </c>
      <c r="F97" s="19" t="s">
        <v>175</v>
      </c>
      <c r="G97" s="20" t="str">
        <f>IF(LEN(Table12_52_03[[#This Row],[Ledger Code]])&gt;3,"AR"&amp;Table12_52_03[[#This Row],[Ledger Code]],"TBC")</f>
        <v>AR8520</v>
      </c>
      <c r="H97" s="20">
        <v>70971</v>
      </c>
      <c r="I97" s="20">
        <v>347</v>
      </c>
      <c r="J97" s="20">
        <v>21285</v>
      </c>
      <c r="K97" s="20">
        <v>53080</v>
      </c>
      <c r="L97" s="20">
        <v>25623</v>
      </c>
      <c r="M97" s="20">
        <v>9146</v>
      </c>
      <c r="N97" s="20">
        <v>12445</v>
      </c>
      <c r="O97" s="20">
        <v>87402</v>
      </c>
      <c r="P97" s="41">
        <v>0</v>
      </c>
      <c r="Q97" s="41">
        <v>2621.41</v>
      </c>
      <c r="R97" s="41">
        <v>829.42999999999984</v>
      </c>
      <c r="S97" s="41">
        <v>1904.0699999999997</v>
      </c>
      <c r="T97" s="41">
        <v>1331.4899999999998</v>
      </c>
      <c r="U97" s="41">
        <v>574.37</v>
      </c>
      <c r="V97" s="41">
        <v>156.92000000000047</v>
      </c>
      <c r="W97" s="41">
        <v>1673.3400000000004</v>
      </c>
    </row>
    <row r="98" spans="1:23" hidden="1" x14ac:dyDescent="0.25">
      <c r="A98" s="18">
        <v>3208</v>
      </c>
      <c r="B98" s="19">
        <v>9481</v>
      </c>
      <c r="C98" s="19" t="s">
        <v>184</v>
      </c>
      <c r="D98" s="19" t="s">
        <v>185</v>
      </c>
      <c r="E98" s="19" t="s">
        <v>57</v>
      </c>
      <c r="F98" s="19" t="s">
        <v>186</v>
      </c>
      <c r="G98" s="20" t="str">
        <f>IF(LEN(Table12_52_03[[#This Row],[Ledger Code]])&gt;3,"AR"&amp;Table12_52_03[[#This Row],[Ledger Code]],"TBC")</f>
        <v>AR9481</v>
      </c>
      <c r="H98" s="20">
        <v>262041</v>
      </c>
      <c r="I98" s="20">
        <v>18940</v>
      </c>
      <c r="J98" s="20">
        <v>213769</v>
      </c>
      <c r="K98" s="20">
        <v>424860</v>
      </c>
      <c r="L98" s="20">
        <v>99250</v>
      </c>
      <c r="M98" s="20">
        <v>33</v>
      </c>
      <c r="N98" s="20">
        <v>313521</v>
      </c>
      <c r="O98" s="20">
        <v>150694</v>
      </c>
      <c r="P98" s="41">
        <v>10109</v>
      </c>
      <c r="Q98" s="41">
        <v>2617</v>
      </c>
      <c r="R98" s="41">
        <v>9270</v>
      </c>
      <c r="S98" s="41">
        <v>16599</v>
      </c>
      <c r="T98" s="41">
        <v>4868</v>
      </c>
      <c r="U98" s="41">
        <v>1850</v>
      </c>
      <c r="V98" s="41">
        <v>12347</v>
      </c>
      <c r="W98" s="41">
        <v>5797</v>
      </c>
    </row>
    <row r="99" spans="1:23" hidden="1" x14ac:dyDescent="0.25">
      <c r="A99" s="18">
        <v>3318</v>
      </c>
      <c r="B99" s="19">
        <v>3615</v>
      </c>
      <c r="C99" s="19" t="s">
        <v>187</v>
      </c>
      <c r="D99" s="19" t="s">
        <v>188</v>
      </c>
      <c r="E99" s="19" t="s">
        <v>57</v>
      </c>
      <c r="F99" s="19" t="s">
        <v>186</v>
      </c>
      <c r="G99" s="20" t="str">
        <f>IF(LEN(Table12_52_03[[#This Row],[Ledger Code]])&gt;3,"AR"&amp;Table12_52_03[[#This Row],[Ledger Code]],"TBC")</f>
        <v>AR3615</v>
      </c>
      <c r="H99" s="20">
        <v>0</v>
      </c>
      <c r="I99" s="20">
        <v>0</v>
      </c>
      <c r="J99" s="20">
        <v>0</v>
      </c>
      <c r="K99" s="20">
        <v>0</v>
      </c>
      <c r="L99" s="20">
        <v>0</v>
      </c>
      <c r="M99" s="20">
        <v>0</v>
      </c>
      <c r="N99" s="20">
        <v>0</v>
      </c>
      <c r="O99" s="20">
        <v>0</v>
      </c>
      <c r="P99" s="41">
        <v>0</v>
      </c>
      <c r="Q99" s="41">
        <v>0</v>
      </c>
      <c r="R99" s="41">
        <v>0</v>
      </c>
      <c r="S99" s="41">
        <v>0</v>
      </c>
      <c r="T99" s="41">
        <v>0</v>
      </c>
      <c r="U99" s="41">
        <v>0</v>
      </c>
      <c r="V99" s="41">
        <v>0</v>
      </c>
      <c r="W99" s="41">
        <v>0</v>
      </c>
    </row>
    <row r="100" spans="1:23" hidden="1" x14ac:dyDescent="0.25">
      <c r="A100" s="18">
        <v>3326</v>
      </c>
      <c r="B100" s="19">
        <v>3624</v>
      </c>
      <c r="C100" s="19" t="s">
        <v>189</v>
      </c>
      <c r="D100" s="19" t="s">
        <v>190</v>
      </c>
      <c r="E100" s="19" t="s">
        <v>57</v>
      </c>
      <c r="F100" s="19" t="s">
        <v>186</v>
      </c>
      <c r="G100" s="20" t="str">
        <f>IF(LEN(Table12_52_03[[#This Row],[Ledger Code]])&gt;3,"AR"&amp;Table12_52_03[[#This Row],[Ledger Code]],"TBC")</f>
        <v>AR3624</v>
      </c>
      <c r="H100" s="20">
        <v>0</v>
      </c>
      <c r="I100" s="20">
        <v>0</v>
      </c>
      <c r="J100" s="20">
        <v>0</v>
      </c>
      <c r="K100" s="20">
        <v>0</v>
      </c>
      <c r="L100" s="20">
        <v>0</v>
      </c>
      <c r="M100" s="20">
        <v>0</v>
      </c>
      <c r="N100" s="20">
        <v>0</v>
      </c>
      <c r="O100" s="20">
        <v>0</v>
      </c>
      <c r="P100" s="41">
        <v>0</v>
      </c>
      <c r="Q100" s="41">
        <v>0</v>
      </c>
      <c r="R100" s="41">
        <v>0</v>
      </c>
      <c r="S100" s="41">
        <v>0</v>
      </c>
      <c r="T100" s="41">
        <v>0</v>
      </c>
      <c r="U100" s="41">
        <v>0</v>
      </c>
      <c r="V100" s="41">
        <v>0</v>
      </c>
      <c r="W100" s="41">
        <v>0</v>
      </c>
    </row>
    <row r="101" spans="1:23" hidden="1" x14ac:dyDescent="0.25">
      <c r="A101" s="18">
        <v>3333</v>
      </c>
      <c r="B101" s="19">
        <v>3632</v>
      </c>
      <c r="C101" s="19" t="s">
        <v>44</v>
      </c>
      <c r="D101" s="19" t="s">
        <v>191</v>
      </c>
      <c r="E101" s="19" t="s">
        <v>57</v>
      </c>
      <c r="F101" s="19" t="s">
        <v>186</v>
      </c>
      <c r="G101" s="20" t="str">
        <f>IF(LEN(Table12_52_03[[#This Row],[Ledger Code]])&gt;3,"AR"&amp;Table12_52_03[[#This Row],[Ledger Code]],"TBC")</f>
        <v>AR3632</v>
      </c>
      <c r="H101" s="20">
        <v>0</v>
      </c>
      <c r="I101" s="20">
        <v>0</v>
      </c>
      <c r="J101" s="20">
        <v>0</v>
      </c>
      <c r="K101" s="20">
        <v>0</v>
      </c>
      <c r="L101" s="20">
        <v>0</v>
      </c>
      <c r="M101" s="20">
        <v>0</v>
      </c>
      <c r="N101" s="20">
        <v>0</v>
      </c>
      <c r="O101" s="20">
        <v>0</v>
      </c>
      <c r="P101" s="41">
        <v>0</v>
      </c>
      <c r="Q101" s="41">
        <v>1329.22</v>
      </c>
      <c r="R101" s="41">
        <v>15.590000000000545</v>
      </c>
      <c r="S101" s="41">
        <v>1822.5300000000002</v>
      </c>
      <c r="T101" s="41">
        <v>1472.3200000000002</v>
      </c>
      <c r="U101" s="41">
        <v>286.02000000000044</v>
      </c>
      <c r="V101" s="41">
        <v>6076.95</v>
      </c>
      <c r="W101" s="41">
        <v>0</v>
      </c>
    </row>
    <row r="102" spans="1:23" hidden="1" x14ac:dyDescent="0.25">
      <c r="A102" s="18">
        <v>3334</v>
      </c>
      <c r="B102" s="19">
        <v>3633</v>
      </c>
      <c r="C102" s="19" t="s">
        <v>192</v>
      </c>
      <c r="D102" s="19" t="s">
        <v>193</v>
      </c>
      <c r="E102" s="19" t="s">
        <v>57</v>
      </c>
      <c r="F102" s="19" t="s">
        <v>186</v>
      </c>
      <c r="G102" s="20" t="str">
        <f>IF(LEN(Table12_52_03[[#This Row],[Ledger Code]])&gt;3,"AR"&amp;Table12_52_03[[#This Row],[Ledger Code]],"TBC")</f>
        <v>AR3633</v>
      </c>
      <c r="H102" s="20">
        <v>0</v>
      </c>
      <c r="I102" s="20">
        <v>0</v>
      </c>
      <c r="J102" s="20">
        <v>0</v>
      </c>
      <c r="K102" s="20">
        <v>0</v>
      </c>
      <c r="L102" s="20">
        <v>0</v>
      </c>
      <c r="M102" s="20">
        <v>0</v>
      </c>
      <c r="N102" s="20">
        <v>0</v>
      </c>
      <c r="O102" s="20">
        <v>0</v>
      </c>
      <c r="P102" s="41">
        <v>1850.61</v>
      </c>
      <c r="Q102" s="41">
        <v>1820.93</v>
      </c>
      <c r="R102" s="41">
        <v>2176.56</v>
      </c>
      <c r="S102" s="41">
        <v>5404.2100000000009</v>
      </c>
      <c r="T102" s="41">
        <v>2420.3900000000003</v>
      </c>
      <c r="U102" s="41">
        <v>2448.630000000001</v>
      </c>
      <c r="V102" s="41">
        <v>2584.2799999999997</v>
      </c>
      <c r="W102" s="41">
        <v>3658.170000000001</v>
      </c>
    </row>
    <row r="103" spans="1:23" hidden="1" x14ac:dyDescent="0.25">
      <c r="A103" s="18">
        <v>3340</v>
      </c>
      <c r="B103" s="19">
        <v>3642</v>
      </c>
      <c r="C103" s="19" t="s">
        <v>194</v>
      </c>
      <c r="D103" s="19" t="s">
        <v>195</v>
      </c>
      <c r="E103" s="19" t="s">
        <v>57</v>
      </c>
      <c r="F103" s="19" t="s">
        <v>186</v>
      </c>
      <c r="G103" s="20" t="str">
        <f>IF(LEN(Table12_52_03[[#This Row],[Ledger Code]])&gt;3,"AR"&amp;Table12_52_03[[#This Row],[Ledger Code]],"TBC")</f>
        <v>AR3642</v>
      </c>
      <c r="H103" s="20">
        <v>0</v>
      </c>
      <c r="I103" s="20">
        <v>0</v>
      </c>
      <c r="J103" s="20">
        <v>0</v>
      </c>
      <c r="K103" s="20">
        <v>0</v>
      </c>
      <c r="L103" s="20">
        <v>0</v>
      </c>
      <c r="M103" s="20">
        <v>0</v>
      </c>
      <c r="N103" s="20">
        <v>0</v>
      </c>
      <c r="O103" s="20">
        <v>0</v>
      </c>
      <c r="P103" s="41">
        <v>0</v>
      </c>
      <c r="Q103" s="41">
        <v>0</v>
      </c>
      <c r="R103" s="41">
        <v>0</v>
      </c>
      <c r="S103" s="41">
        <v>0</v>
      </c>
      <c r="T103" s="41">
        <v>0</v>
      </c>
      <c r="U103" s="41">
        <v>0</v>
      </c>
      <c r="V103" s="41">
        <v>0</v>
      </c>
      <c r="W103" s="41">
        <v>0</v>
      </c>
    </row>
    <row r="104" spans="1:23" hidden="1" x14ac:dyDescent="0.25">
      <c r="A104" s="18">
        <v>3345</v>
      </c>
      <c r="B104" s="19">
        <v>3644</v>
      </c>
      <c r="C104" s="19" t="s">
        <v>196</v>
      </c>
      <c r="D104" s="19" t="s">
        <v>197</v>
      </c>
      <c r="E104" s="19" t="s">
        <v>57</v>
      </c>
      <c r="F104" s="19" t="s">
        <v>186</v>
      </c>
      <c r="G104" s="20" t="str">
        <f>IF(LEN(Table12_52_03[[#This Row],[Ledger Code]])&gt;3,"AR"&amp;Table12_52_03[[#This Row],[Ledger Code]],"TBC")</f>
        <v>AR3644</v>
      </c>
      <c r="H104" s="20">
        <v>0</v>
      </c>
      <c r="I104" s="20">
        <v>0</v>
      </c>
      <c r="J104" s="20">
        <v>0</v>
      </c>
      <c r="K104" s="20">
        <v>0</v>
      </c>
      <c r="L104" s="20">
        <v>0</v>
      </c>
      <c r="M104" s="20">
        <v>0</v>
      </c>
      <c r="N104" s="20">
        <v>0</v>
      </c>
      <c r="O104" s="20">
        <v>0</v>
      </c>
      <c r="P104" s="41">
        <v>284.36</v>
      </c>
      <c r="Q104" s="41">
        <v>493.55</v>
      </c>
      <c r="R104" s="41">
        <v>3308.13</v>
      </c>
      <c r="S104" s="41">
        <v>1639.96</v>
      </c>
      <c r="T104" s="41">
        <v>1118.54</v>
      </c>
      <c r="U104" s="41">
        <v>538.82000000000016</v>
      </c>
      <c r="V104" s="41">
        <v>728.77999999999975</v>
      </c>
      <c r="W104" s="41">
        <v>766.14999999999986</v>
      </c>
    </row>
    <row r="105" spans="1:23" hidden="1" x14ac:dyDescent="0.25">
      <c r="A105" s="18">
        <v>3414</v>
      </c>
      <c r="B105" s="19">
        <v>3715</v>
      </c>
      <c r="C105" s="19" t="s">
        <v>198</v>
      </c>
      <c r="D105" s="19" t="s">
        <v>199</v>
      </c>
      <c r="E105" s="19" t="s">
        <v>57</v>
      </c>
      <c r="F105" s="19" t="s">
        <v>186</v>
      </c>
      <c r="G105" s="20" t="str">
        <f>IF(LEN(Table12_52_03[[#This Row],[Ledger Code]])&gt;3,"AR"&amp;Table12_52_03[[#This Row],[Ledger Code]],"TBC")</f>
        <v>AR3715</v>
      </c>
      <c r="H105" s="20">
        <v>0</v>
      </c>
      <c r="I105" s="20">
        <v>0</v>
      </c>
      <c r="J105" s="20">
        <v>0</v>
      </c>
      <c r="K105" s="20">
        <v>0</v>
      </c>
      <c r="L105" s="20">
        <v>0</v>
      </c>
      <c r="M105" s="20">
        <v>0</v>
      </c>
      <c r="N105" s="20">
        <v>0</v>
      </c>
      <c r="O105" s="20">
        <v>0</v>
      </c>
      <c r="P105" s="41">
        <v>3817.13</v>
      </c>
      <c r="Q105" s="41">
        <v>1428.24</v>
      </c>
      <c r="R105" s="41">
        <v>4451.1500000000005</v>
      </c>
      <c r="S105" s="41">
        <v>8146.4999999999991</v>
      </c>
      <c r="T105" s="41">
        <v>5033.0599999999995</v>
      </c>
      <c r="U105" s="41">
        <v>1866.3700000000003</v>
      </c>
      <c r="V105" s="41">
        <v>4600.0600000000004</v>
      </c>
      <c r="W105" s="41">
        <v>6534.9900000000007</v>
      </c>
    </row>
    <row r="106" spans="1:23" hidden="1" x14ac:dyDescent="0.25">
      <c r="A106" s="18">
        <v>3418</v>
      </c>
      <c r="B106" s="19">
        <v>3704</v>
      </c>
      <c r="C106" s="19" t="s">
        <v>200</v>
      </c>
      <c r="D106" s="19" t="s">
        <v>201</v>
      </c>
      <c r="E106" s="19" t="s">
        <v>57</v>
      </c>
      <c r="F106" s="19" t="s">
        <v>186</v>
      </c>
      <c r="G106" s="20" t="str">
        <f>IF(LEN(Table12_52_03[[#This Row],[Ledger Code]])&gt;3,"AR"&amp;Table12_52_03[[#This Row],[Ledger Code]],"TBC")</f>
        <v>AR3704</v>
      </c>
      <c r="H106" s="20">
        <v>0</v>
      </c>
      <c r="I106" s="20">
        <v>0</v>
      </c>
      <c r="J106" s="20">
        <v>0</v>
      </c>
      <c r="K106" s="20">
        <v>0</v>
      </c>
      <c r="L106" s="20">
        <v>0</v>
      </c>
      <c r="M106" s="20">
        <v>0</v>
      </c>
      <c r="N106" s="20">
        <v>0</v>
      </c>
      <c r="O106" s="20">
        <v>0</v>
      </c>
      <c r="P106" s="41">
        <v>3215.23</v>
      </c>
      <c r="Q106" s="41">
        <v>3926.6399999999981</v>
      </c>
      <c r="R106" s="41">
        <v>8755.4399999999987</v>
      </c>
      <c r="S106" s="41">
        <v>14856.739999999998</v>
      </c>
      <c r="T106" s="41">
        <v>6093.3899999999994</v>
      </c>
      <c r="U106" s="41">
        <v>5371.1</v>
      </c>
      <c r="V106" s="41">
        <v>7568.38</v>
      </c>
      <c r="W106" s="41">
        <v>10627.63</v>
      </c>
    </row>
    <row r="107" spans="1:23" hidden="1" x14ac:dyDescent="0.25">
      <c r="A107" s="18">
        <v>3442</v>
      </c>
      <c r="B107" s="19">
        <v>6527</v>
      </c>
      <c r="C107" s="19" t="s">
        <v>202</v>
      </c>
      <c r="D107" s="19" t="s">
        <v>203</v>
      </c>
      <c r="E107" s="19" t="s">
        <v>9</v>
      </c>
      <c r="F107" s="19" t="s">
        <v>83</v>
      </c>
      <c r="G107" s="20" t="str">
        <f>IF(LEN(Table12_52_03[[#This Row],[Ledger Code]])&gt;3,"AR"&amp;Table12_52_03[[#This Row],[Ledger Code]],"TBC")</f>
        <v>AR6527</v>
      </c>
      <c r="H107" s="20">
        <v>0</v>
      </c>
      <c r="I107" s="20">
        <v>0</v>
      </c>
      <c r="J107" s="20">
        <v>0</v>
      </c>
      <c r="K107" s="20">
        <v>0</v>
      </c>
      <c r="L107" s="20">
        <v>0</v>
      </c>
      <c r="M107" s="20">
        <v>0</v>
      </c>
      <c r="N107" s="20">
        <v>0</v>
      </c>
      <c r="O107" s="20">
        <v>0</v>
      </c>
      <c r="P107" s="41">
        <v>0</v>
      </c>
      <c r="Q107" s="41">
        <v>1626.8400000000001</v>
      </c>
      <c r="R107" s="41">
        <v>-2.8421709430404007E-14</v>
      </c>
      <c r="S107" s="41">
        <v>0</v>
      </c>
      <c r="T107" s="41">
        <v>4064.79</v>
      </c>
      <c r="U107" s="41">
        <v>0</v>
      </c>
      <c r="V107" s="41">
        <v>0</v>
      </c>
      <c r="W107" s="41">
        <v>0</v>
      </c>
    </row>
    <row r="108" spans="1:23" hidden="1" x14ac:dyDescent="0.25">
      <c r="A108" s="18">
        <v>3513</v>
      </c>
      <c r="B108" s="19">
        <v>6413</v>
      </c>
      <c r="C108" s="19" t="s">
        <v>204</v>
      </c>
      <c r="D108" s="19" t="s">
        <v>205</v>
      </c>
      <c r="E108" s="19" t="s">
        <v>9</v>
      </c>
      <c r="F108" s="19" t="s">
        <v>83</v>
      </c>
      <c r="G108" s="20" t="str">
        <f>IF(LEN(Table12_52_03[[#This Row],[Ledger Code]])&gt;3,"AR"&amp;Table12_52_03[[#This Row],[Ledger Code]],"TBC")</f>
        <v>AR6413</v>
      </c>
      <c r="H108" s="20">
        <v>15931</v>
      </c>
      <c r="I108" s="20">
        <v>7380</v>
      </c>
      <c r="J108" s="20">
        <v>21970</v>
      </c>
      <c r="K108" s="20">
        <v>43093</v>
      </c>
      <c r="L108" s="20">
        <v>22116</v>
      </c>
      <c r="M108" s="20">
        <v>9444</v>
      </c>
      <c r="N108" s="20">
        <v>21015</v>
      </c>
      <c r="O108" s="20">
        <v>44131</v>
      </c>
      <c r="P108" s="41">
        <v>0</v>
      </c>
      <c r="Q108" s="41">
        <v>769.72</v>
      </c>
      <c r="R108" s="41">
        <v>1077.31</v>
      </c>
      <c r="S108" s="41">
        <v>1556.7999999999997</v>
      </c>
      <c r="T108" s="41">
        <v>864.76</v>
      </c>
      <c r="U108" s="41">
        <v>325.18000000000006</v>
      </c>
      <c r="V108" s="41">
        <v>797.36</v>
      </c>
      <c r="W108" s="41">
        <v>1253.99</v>
      </c>
    </row>
    <row r="109" spans="1:23" hidden="1" x14ac:dyDescent="0.25">
      <c r="A109" s="18">
        <v>3539</v>
      </c>
      <c r="B109" s="19">
        <v>6440</v>
      </c>
      <c r="C109" s="19" t="s">
        <v>206</v>
      </c>
      <c r="D109" s="19" t="s">
        <v>207</v>
      </c>
      <c r="E109" s="19" t="s">
        <v>9</v>
      </c>
      <c r="F109" s="19" t="s">
        <v>83</v>
      </c>
      <c r="G109" s="20" t="str">
        <f>IF(LEN(Table12_52_03[[#This Row],[Ledger Code]])&gt;3,"AR"&amp;Table12_52_03[[#This Row],[Ledger Code]],"TBC")</f>
        <v>AR6440</v>
      </c>
      <c r="H109" s="20">
        <v>138596</v>
      </c>
      <c r="I109" s="20">
        <v>53358</v>
      </c>
      <c r="J109" s="20">
        <v>218406</v>
      </c>
      <c r="K109" s="20">
        <v>285432</v>
      </c>
      <c r="L109" s="20">
        <v>128192</v>
      </c>
      <c r="M109" s="20">
        <v>73115</v>
      </c>
      <c r="N109" s="20">
        <v>199732</v>
      </c>
      <c r="O109" s="20">
        <v>228891</v>
      </c>
      <c r="P109" s="41">
        <v>0</v>
      </c>
      <c r="Q109" s="41">
        <v>7425.7</v>
      </c>
      <c r="R109" s="41">
        <v>6519.71</v>
      </c>
      <c r="S109" s="41">
        <v>10688.199999999997</v>
      </c>
      <c r="T109" s="41">
        <v>6671.31</v>
      </c>
      <c r="U109" s="41">
        <v>2507.13</v>
      </c>
      <c r="V109" s="41">
        <v>5680.57</v>
      </c>
      <c r="W109" s="41">
        <v>6919.68</v>
      </c>
    </row>
    <row r="110" spans="1:23" hidden="1" x14ac:dyDescent="0.25">
      <c r="A110" s="18">
        <v>3541</v>
      </c>
      <c r="B110" s="19">
        <v>6443</v>
      </c>
      <c r="C110" s="19" t="s">
        <v>208</v>
      </c>
      <c r="D110" s="19" t="s">
        <v>209</v>
      </c>
      <c r="E110" s="19" t="s">
        <v>9</v>
      </c>
      <c r="F110" s="19" t="s">
        <v>83</v>
      </c>
      <c r="G110" s="20" t="str">
        <f>IF(LEN(Table12_52_03[[#This Row],[Ledger Code]])&gt;3,"AR"&amp;Table12_52_03[[#This Row],[Ledger Code]],"TBC")</f>
        <v>AR6443</v>
      </c>
      <c r="H110" s="20">
        <v>702</v>
      </c>
      <c r="I110" s="20">
        <v>63795</v>
      </c>
      <c r="J110" s="20">
        <v>21468</v>
      </c>
      <c r="K110" s="20">
        <v>91803</v>
      </c>
      <c r="L110" s="20">
        <v>75263</v>
      </c>
      <c r="M110" s="20">
        <v>23197</v>
      </c>
      <c r="N110" s="20">
        <v>41951</v>
      </c>
      <c r="O110" s="20">
        <v>103835</v>
      </c>
      <c r="P110" s="41">
        <v>0</v>
      </c>
      <c r="Q110" s="41">
        <v>2192.36</v>
      </c>
      <c r="R110" s="41">
        <v>1862.6100000000001</v>
      </c>
      <c r="S110" s="41">
        <v>3181.26</v>
      </c>
      <c r="T110" s="41">
        <v>1407.5100000000009</v>
      </c>
      <c r="U110" s="41">
        <v>875.04</v>
      </c>
      <c r="V110" s="41">
        <v>1653.92</v>
      </c>
      <c r="W110" s="41">
        <v>2307.1399999999994</v>
      </c>
    </row>
    <row r="111" spans="1:23" hidden="1" x14ac:dyDescent="0.25">
      <c r="A111" s="18">
        <v>3542</v>
      </c>
      <c r="B111" s="19">
        <v>6444</v>
      </c>
      <c r="C111" s="19" t="s">
        <v>210</v>
      </c>
      <c r="D111" s="19" t="s">
        <v>211</v>
      </c>
      <c r="E111" s="19" t="s">
        <v>9</v>
      </c>
      <c r="F111" s="19" t="s">
        <v>83</v>
      </c>
      <c r="G111" s="20" t="str">
        <f>IF(LEN(Table12_52_03[[#This Row],[Ledger Code]])&gt;3,"AR"&amp;Table12_52_03[[#This Row],[Ledger Code]],"TBC")</f>
        <v>AR6444</v>
      </c>
      <c r="H111" s="20">
        <v>0</v>
      </c>
      <c r="I111" s="20">
        <v>0</v>
      </c>
      <c r="J111" s="20">
        <v>0</v>
      </c>
      <c r="K111" s="20">
        <v>0</v>
      </c>
      <c r="L111" s="20">
        <v>0</v>
      </c>
      <c r="M111" s="20">
        <v>0</v>
      </c>
      <c r="N111" s="20">
        <v>0</v>
      </c>
      <c r="O111" s="20">
        <v>0</v>
      </c>
      <c r="P111" s="41">
        <v>0</v>
      </c>
      <c r="Q111" s="41">
        <v>0</v>
      </c>
      <c r="R111" s="41">
        <v>0</v>
      </c>
      <c r="S111" s="41">
        <v>0</v>
      </c>
      <c r="T111" s="41">
        <v>0</v>
      </c>
      <c r="U111" s="41">
        <v>0</v>
      </c>
      <c r="V111" s="41">
        <v>0</v>
      </c>
      <c r="W111" s="41">
        <v>0</v>
      </c>
    </row>
    <row r="112" spans="1:23" hidden="1" x14ac:dyDescent="0.25">
      <c r="A112" s="18">
        <v>3574</v>
      </c>
      <c r="B112" s="19">
        <v>6477</v>
      </c>
      <c r="C112" s="19" t="s">
        <v>212</v>
      </c>
      <c r="D112" s="19" t="s">
        <v>213</v>
      </c>
      <c r="E112" s="19" t="s">
        <v>9</v>
      </c>
      <c r="F112" s="19" t="s">
        <v>83</v>
      </c>
      <c r="G112" s="20" t="str">
        <f>IF(LEN(Table12_52_03[[#This Row],[Ledger Code]])&gt;3,"AR"&amp;Table12_52_03[[#This Row],[Ledger Code]],"TBC")</f>
        <v>AR6477</v>
      </c>
      <c r="H112" s="20">
        <v>0</v>
      </c>
      <c r="I112" s="20">
        <v>0</v>
      </c>
      <c r="J112" s="20">
        <v>0</v>
      </c>
      <c r="K112" s="20">
        <v>0</v>
      </c>
      <c r="L112" s="20">
        <v>0</v>
      </c>
      <c r="M112" s="20">
        <v>0</v>
      </c>
      <c r="N112" s="20">
        <v>0</v>
      </c>
      <c r="O112" s="20">
        <v>0</v>
      </c>
      <c r="P112" s="41">
        <v>0</v>
      </c>
      <c r="Q112" s="41">
        <v>0</v>
      </c>
      <c r="R112" s="41">
        <v>0</v>
      </c>
      <c r="S112" s="41">
        <v>0</v>
      </c>
      <c r="T112" s="41">
        <v>0</v>
      </c>
      <c r="U112" s="41">
        <v>0</v>
      </c>
      <c r="V112" s="41">
        <v>0</v>
      </c>
      <c r="W112" s="41">
        <v>0</v>
      </c>
    </row>
    <row r="113" spans="1:23" hidden="1" x14ac:dyDescent="0.25">
      <c r="A113" s="18">
        <v>3720</v>
      </c>
      <c r="B113" s="19">
        <v>3967</v>
      </c>
      <c r="C113" s="19" t="s">
        <v>214</v>
      </c>
      <c r="D113" s="19" t="s">
        <v>215</v>
      </c>
      <c r="E113" s="19" t="s">
        <v>57</v>
      </c>
      <c r="F113" s="19" t="s">
        <v>186</v>
      </c>
      <c r="G113" s="20" t="str">
        <f>IF(LEN(Table12_52_03[[#This Row],[Ledger Code]])&gt;3,"AR"&amp;Table12_52_03[[#This Row],[Ledger Code]],"TBC")</f>
        <v>AR3967</v>
      </c>
      <c r="H113" s="20">
        <v>0</v>
      </c>
      <c r="I113" s="20">
        <v>0</v>
      </c>
      <c r="J113" s="20">
        <v>0</v>
      </c>
      <c r="K113" s="20">
        <v>0</v>
      </c>
      <c r="L113" s="20">
        <v>0</v>
      </c>
      <c r="M113" s="20">
        <v>0</v>
      </c>
      <c r="N113" s="20">
        <v>0</v>
      </c>
      <c r="O113" s="20">
        <v>0</v>
      </c>
      <c r="P113" s="41">
        <v>7472.44</v>
      </c>
      <c r="Q113" s="41">
        <v>1907.38</v>
      </c>
      <c r="R113" s="41">
        <v>3476.9500000000007</v>
      </c>
      <c r="S113" s="41">
        <v>7619.75</v>
      </c>
      <c r="T113" s="41">
        <v>2145.1799999999998</v>
      </c>
      <c r="U113" s="41">
        <v>12739.819999999998</v>
      </c>
      <c r="V113" s="41">
        <v>19556.549999999996</v>
      </c>
      <c r="W113" s="41">
        <v>0</v>
      </c>
    </row>
    <row r="114" spans="1:23" hidden="1" x14ac:dyDescent="0.25">
      <c r="A114" s="18">
        <v>3748</v>
      </c>
      <c r="B114" s="19">
        <v>3993</v>
      </c>
      <c r="C114" s="19" t="s">
        <v>216</v>
      </c>
      <c r="D114" s="19" t="s">
        <v>217</v>
      </c>
      <c r="E114" s="19" t="s">
        <v>57</v>
      </c>
      <c r="F114" s="19" t="s">
        <v>186</v>
      </c>
      <c r="G114" s="20" t="str">
        <f>IF(LEN(Table12_52_03[[#This Row],[Ledger Code]])&gt;3,"AR"&amp;Table12_52_03[[#This Row],[Ledger Code]],"TBC")</f>
        <v>AR3993</v>
      </c>
      <c r="H114" s="20">
        <v>0</v>
      </c>
      <c r="I114" s="20">
        <v>0</v>
      </c>
      <c r="J114" s="20">
        <v>0</v>
      </c>
      <c r="K114" s="20">
        <v>0</v>
      </c>
      <c r="L114" s="20">
        <v>0</v>
      </c>
      <c r="M114" s="20">
        <v>0</v>
      </c>
      <c r="N114" s="20">
        <v>0</v>
      </c>
      <c r="O114" s="20">
        <v>0</v>
      </c>
      <c r="P114" s="41">
        <v>0</v>
      </c>
      <c r="Q114" s="41">
        <v>379.36</v>
      </c>
      <c r="R114" s="41">
        <v>0</v>
      </c>
      <c r="S114" s="41">
        <v>0</v>
      </c>
      <c r="T114" s="41">
        <v>0</v>
      </c>
      <c r="U114" s="41">
        <v>0</v>
      </c>
      <c r="V114" s="41">
        <v>0</v>
      </c>
      <c r="W114" s="41">
        <v>0</v>
      </c>
    </row>
    <row r="115" spans="1:23" hidden="1" x14ac:dyDescent="0.25">
      <c r="A115" s="18">
        <v>3945</v>
      </c>
      <c r="B115" s="19">
        <v>7030</v>
      </c>
      <c r="C115" s="19" t="s">
        <v>326</v>
      </c>
      <c r="D115" s="19">
        <v>0</v>
      </c>
      <c r="E115" s="19" t="s">
        <v>220</v>
      </c>
      <c r="F115" s="19" t="s">
        <v>221</v>
      </c>
      <c r="G115" s="20" t="str">
        <f>IF(LEN(Table12_52_03[[#This Row],[Ledger Code]])&gt;3,"AR"&amp;Table12_52_03[[#This Row],[Ledger Code]],"TBC")</f>
        <v>AR7030</v>
      </c>
      <c r="H115" s="20">
        <v>23504</v>
      </c>
      <c r="I115" s="20">
        <v>14961</v>
      </c>
      <c r="J115" s="20">
        <v>32678</v>
      </c>
      <c r="K115" s="20">
        <v>53753</v>
      </c>
      <c r="L115" s="20">
        <v>16726</v>
      </c>
      <c r="M115" s="20">
        <v>19644</v>
      </c>
      <c r="N115" s="20">
        <v>37552</v>
      </c>
      <c r="O115" s="20">
        <v>55129</v>
      </c>
      <c r="P115" s="41">
        <v>0</v>
      </c>
      <c r="Q115" s="41">
        <v>75076.739999999991</v>
      </c>
      <c r="R115" s="41">
        <v>73971.659999999974</v>
      </c>
      <c r="S115" s="41">
        <v>111179.31</v>
      </c>
      <c r="T115" s="41">
        <v>75854.319999999978</v>
      </c>
      <c r="U115" s="41">
        <v>35204.959999999992</v>
      </c>
      <c r="V115" s="41">
        <v>65420.759999999995</v>
      </c>
      <c r="W115" s="41">
        <v>73057.260000000009</v>
      </c>
    </row>
    <row r="116" spans="1:23" hidden="1" x14ac:dyDescent="0.25">
      <c r="A116" s="18">
        <v>3959</v>
      </c>
      <c r="B116" s="19">
        <v>7075</v>
      </c>
      <c r="C116" s="19" t="s">
        <v>218</v>
      </c>
      <c r="D116" s="19" t="s">
        <v>219</v>
      </c>
      <c r="E116" s="19" t="s">
        <v>220</v>
      </c>
      <c r="F116" s="19" t="s">
        <v>221</v>
      </c>
      <c r="G116" s="20" t="str">
        <f>IF(LEN(Table12_52_03[[#This Row],[Ledger Code]])&gt;3,"AR"&amp;Table12_52_03[[#This Row],[Ledger Code]],"TBC")</f>
        <v>AR7075</v>
      </c>
      <c r="H116" s="20">
        <v>0</v>
      </c>
      <c r="I116" s="20">
        <v>0</v>
      </c>
      <c r="J116" s="20">
        <v>0</v>
      </c>
      <c r="K116" s="20">
        <v>0</v>
      </c>
      <c r="L116" s="20">
        <v>0</v>
      </c>
      <c r="M116" s="20">
        <v>0</v>
      </c>
      <c r="N116" s="20">
        <v>0</v>
      </c>
      <c r="O116" s="20">
        <v>0</v>
      </c>
      <c r="P116" s="41">
        <v>0</v>
      </c>
      <c r="Q116" s="41">
        <v>0</v>
      </c>
      <c r="R116" s="41">
        <v>0</v>
      </c>
      <c r="S116" s="41">
        <v>0</v>
      </c>
      <c r="T116" s="41">
        <v>0</v>
      </c>
      <c r="U116" s="41">
        <v>0</v>
      </c>
      <c r="V116" s="41">
        <v>0</v>
      </c>
      <c r="W116" s="41">
        <v>0</v>
      </c>
    </row>
    <row r="117" spans="1:23" hidden="1" x14ac:dyDescent="0.25">
      <c r="A117" s="18">
        <v>3977</v>
      </c>
      <c r="B117" s="19">
        <v>7103</v>
      </c>
      <c r="C117" s="19" t="s">
        <v>222</v>
      </c>
      <c r="D117" s="19" t="s">
        <v>223</v>
      </c>
      <c r="E117" s="19" t="s">
        <v>220</v>
      </c>
      <c r="F117" s="19" t="s">
        <v>221</v>
      </c>
      <c r="G117" s="20" t="str">
        <f>IF(LEN(Table12_52_03[[#This Row],[Ledger Code]])&gt;3,"AR"&amp;Table12_52_03[[#This Row],[Ledger Code]],"TBC")</f>
        <v>AR7103</v>
      </c>
      <c r="H117" s="20">
        <v>0</v>
      </c>
      <c r="I117" s="20">
        <v>0</v>
      </c>
      <c r="J117" s="20">
        <v>0</v>
      </c>
      <c r="K117" s="20">
        <v>0</v>
      </c>
      <c r="L117" s="20">
        <v>1997</v>
      </c>
      <c r="M117" s="20">
        <v>16214</v>
      </c>
      <c r="N117" s="20">
        <v>4513</v>
      </c>
      <c r="O117" s="20">
        <v>10469</v>
      </c>
      <c r="P117" s="41">
        <v>0</v>
      </c>
      <c r="Q117" s="41">
        <v>0</v>
      </c>
      <c r="R117" s="41">
        <v>1617.7300000000005</v>
      </c>
      <c r="S117" s="41">
        <v>0</v>
      </c>
      <c r="T117" s="41">
        <v>1629.53</v>
      </c>
      <c r="U117" s="41">
        <v>697.06</v>
      </c>
      <c r="V117" s="41">
        <v>188.92000000000002</v>
      </c>
      <c r="W117" s="41">
        <v>225.32000000000005</v>
      </c>
    </row>
    <row r="118" spans="1:23" hidden="1" x14ac:dyDescent="0.25">
      <c r="A118" s="18">
        <v>4053</v>
      </c>
      <c r="B118" s="19">
        <v>7258</v>
      </c>
      <c r="C118" s="19" t="s">
        <v>324</v>
      </c>
      <c r="D118" s="19" t="s">
        <v>325</v>
      </c>
      <c r="E118" s="19" t="s">
        <v>220</v>
      </c>
      <c r="F118" s="19">
        <v>0</v>
      </c>
      <c r="G118" s="20" t="str">
        <f>IF(LEN(Table12_52_03[[#This Row],[Ledger Code]])&gt;3,"AR"&amp;Table12_52_03[[#This Row],[Ledger Code]],"TBC")</f>
        <v>AR7258</v>
      </c>
      <c r="H118" s="20">
        <v>0</v>
      </c>
      <c r="I118" s="20">
        <v>0</v>
      </c>
      <c r="J118" s="20">
        <v>0</v>
      </c>
      <c r="K118" s="20">
        <v>0</v>
      </c>
      <c r="L118" s="20">
        <v>0</v>
      </c>
      <c r="M118" s="20">
        <v>0</v>
      </c>
      <c r="N118" s="20">
        <v>0</v>
      </c>
      <c r="O118" s="20">
        <v>0</v>
      </c>
      <c r="P118" s="41">
        <v>0</v>
      </c>
      <c r="Q118" s="41">
        <v>0</v>
      </c>
      <c r="R118" s="41">
        <v>0</v>
      </c>
      <c r="S118" s="41">
        <v>0</v>
      </c>
      <c r="T118" s="41">
        <v>0</v>
      </c>
      <c r="U118" s="41">
        <v>0</v>
      </c>
      <c r="V118" s="41">
        <v>0</v>
      </c>
      <c r="W118" s="41">
        <v>0</v>
      </c>
    </row>
    <row r="119" spans="1:23" hidden="1" x14ac:dyDescent="0.25">
      <c r="A119" s="18">
        <v>4058</v>
      </c>
      <c r="B119" s="19">
        <v>7284</v>
      </c>
      <c r="C119" s="19" t="s">
        <v>224</v>
      </c>
      <c r="D119" s="19" t="s">
        <v>225</v>
      </c>
      <c r="E119" s="19" t="s">
        <v>220</v>
      </c>
      <c r="F119" s="19" t="s">
        <v>221</v>
      </c>
      <c r="G119" s="20" t="str">
        <f>IF(LEN(Table12_52_03[[#This Row],[Ledger Code]])&gt;3,"AR"&amp;Table12_52_03[[#This Row],[Ledger Code]],"TBC")</f>
        <v>AR7284</v>
      </c>
      <c r="H119" s="20">
        <v>0</v>
      </c>
      <c r="I119" s="20">
        <v>0</v>
      </c>
      <c r="J119" s="20">
        <v>0</v>
      </c>
      <c r="K119" s="20">
        <v>0</v>
      </c>
      <c r="L119" s="20">
        <v>0</v>
      </c>
      <c r="M119" s="20">
        <v>0</v>
      </c>
      <c r="N119" s="20">
        <v>0</v>
      </c>
      <c r="O119" s="20">
        <v>0</v>
      </c>
      <c r="P119" s="41">
        <v>0</v>
      </c>
      <c r="Q119" s="41">
        <v>0</v>
      </c>
      <c r="R119" s="41">
        <v>0</v>
      </c>
      <c r="S119" s="41">
        <v>0</v>
      </c>
      <c r="T119" s="41">
        <v>0</v>
      </c>
      <c r="U119" s="41">
        <v>0</v>
      </c>
      <c r="V119" s="41">
        <v>0</v>
      </c>
      <c r="W119" s="41">
        <v>0</v>
      </c>
    </row>
    <row r="120" spans="1:23" hidden="1" x14ac:dyDescent="0.25">
      <c r="A120" s="18">
        <v>4219</v>
      </c>
      <c r="B120" s="19">
        <v>7430</v>
      </c>
      <c r="C120" s="19" t="s">
        <v>226</v>
      </c>
      <c r="D120" s="19" t="s">
        <v>227</v>
      </c>
      <c r="E120" s="19" t="s">
        <v>220</v>
      </c>
      <c r="F120" s="19" t="s">
        <v>228</v>
      </c>
      <c r="G120" s="20" t="str">
        <f>IF(LEN(Table12_52_03[[#This Row],[Ledger Code]])&gt;3,"AR"&amp;Table12_52_03[[#This Row],[Ledger Code]],"TBC")</f>
        <v>AR7430</v>
      </c>
      <c r="H120" s="20">
        <v>0</v>
      </c>
      <c r="I120" s="20">
        <v>0</v>
      </c>
      <c r="J120" s="20">
        <v>0</v>
      </c>
      <c r="K120" s="20">
        <v>0</v>
      </c>
      <c r="L120" s="20">
        <v>0</v>
      </c>
      <c r="M120" s="20">
        <v>0</v>
      </c>
      <c r="N120" s="20">
        <v>0</v>
      </c>
      <c r="O120" s="20">
        <v>0</v>
      </c>
      <c r="P120" s="41">
        <v>0</v>
      </c>
      <c r="Q120" s="41">
        <v>0</v>
      </c>
      <c r="R120" s="41">
        <v>0</v>
      </c>
      <c r="S120" s="41">
        <v>0</v>
      </c>
      <c r="T120" s="41">
        <v>0</v>
      </c>
      <c r="U120" s="41">
        <v>0</v>
      </c>
      <c r="V120" s="41">
        <v>0</v>
      </c>
      <c r="W120" s="41">
        <v>0</v>
      </c>
    </row>
    <row r="121" spans="1:23" hidden="1" x14ac:dyDescent="0.25">
      <c r="A121" s="18">
        <v>4267</v>
      </c>
      <c r="B121" s="19">
        <v>7468</v>
      </c>
      <c r="C121" s="19" t="s">
        <v>229</v>
      </c>
      <c r="D121" s="19" t="s">
        <v>230</v>
      </c>
      <c r="E121" s="19" t="s">
        <v>220</v>
      </c>
      <c r="F121" s="19" t="s">
        <v>228</v>
      </c>
      <c r="G121" s="20" t="str">
        <f>IF(LEN(Table12_52_03[[#This Row],[Ledger Code]])&gt;3,"AR"&amp;Table12_52_03[[#This Row],[Ledger Code]],"TBC")</f>
        <v>AR7468</v>
      </c>
      <c r="H121" s="20">
        <v>0</v>
      </c>
      <c r="I121" s="20">
        <v>0</v>
      </c>
      <c r="J121" s="20">
        <v>0</v>
      </c>
      <c r="K121" s="20">
        <v>0</v>
      </c>
      <c r="L121" s="20">
        <v>0</v>
      </c>
      <c r="M121" s="20">
        <v>0</v>
      </c>
      <c r="N121" s="20">
        <v>0</v>
      </c>
      <c r="O121" s="20">
        <v>0</v>
      </c>
      <c r="P121" s="41">
        <v>0</v>
      </c>
      <c r="Q121" s="41">
        <v>0</v>
      </c>
      <c r="R121" s="41">
        <v>0</v>
      </c>
      <c r="S121" s="41">
        <v>0</v>
      </c>
      <c r="T121" s="41">
        <v>0</v>
      </c>
      <c r="U121" s="41">
        <v>0</v>
      </c>
      <c r="V121" s="41">
        <v>0</v>
      </c>
      <c r="W121" s="41">
        <v>0</v>
      </c>
    </row>
    <row r="122" spans="1:23" hidden="1" x14ac:dyDescent="0.25">
      <c r="A122" s="18">
        <v>4309</v>
      </c>
      <c r="B122" s="19">
        <v>4198</v>
      </c>
      <c r="C122" s="19" t="s">
        <v>231</v>
      </c>
      <c r="D122" s="19" t="s">
        <v>232</v>
      </c>
      <c r="E122" s="19" t="s">
        <v>57</v>
      </c>
      <c r="F122" s="19" t="s">
        <v>233</v>
      </c>
      <c r="G122" s="20" t="str">
        <f>IF(LEN(Table12_52_03[[#This Row],[Ledger Code]])&gt;3,"AR"&amp;Table12_52_03[[#This Row],[Ledger Code]],"TBC")</f>
        <v>AR4198</v>
      </c>
      <c r="H122" s="20">
        <v>0</v>
      </c>
      <c r="I122" s="20">
        <v>0</v>
      </c>
      <c r="J122" s="20">
        <v>0</v>
      </c>
      <c r="K122" s="20">
        <v>0</v>
      </c>
      <c r="L122" s="20">
        <v>0</v>
      </c>
      <c r="M122" s="20">
        <v>0</v>
      </c>
      <c r="N122" s="20">
        <v>0</v>
      </c>
      <c r="O122" s="20">
        <v>0</v>
      </c>
      <c r="P122" s="41">
        <v>0</v>
      </c>
      <c r="Q122" s="41">
        <v>248.73</v>
      </c>
      <c r="R122" s="41">
        <v>500.39999999999986</v>
      </c>
      <c r="S122" s="41">
        <v>0</v>
      </c>
      <c r="T122" s="41">
        <v>2718.4</v>
      </c>
      <c r="U122" s="41">
        <v>0</v>
      </c>
      <c r="V122" s="41">
        <v>31.480000000000018</v>
      </c>
      <c r="W122" s="41">
        <v>1265.22</v>
      </c>
    </row>
    <row r="123" spans="1:23" hidden="1" x14ac:dyDescent="0.25">
      <c r="A123" s="18">
        <v>4338</v>
      </c>
      <c r="B123" s="19">
        <v>4101</v>
      </c>
      <c r="C123" s="19" t="s">
        <v>234</v>
      </c>
      <c r="D123" s="19" t="s">
        <v>235</v>
      </c>
      <c r="E123" s="19" t="s">
        <v>57</v>
      </c>
      <c r="F123" s="19" t="s">
        <v>233</v>
      </c>
      <c r="G123" s="20" t="str">
        <f>IF(LEN(Table12_52_03[[#This Row],[Ledger Code]])&gt;3,"AR"&amp;Table12_52_03[[#This Row],[Ledger Code]],"TBC")</f>
        <v>AR4101</v>
      </c>
      <c r="H123" s="20">
        <v>0</v>
      </c>
      <c r="I123" s="20">
        <v>0</v>
      </c>
      <c r="J123" s="20">
        <v>0</v>
      </c>
      <c r="K123" s="20">
        <v>0</v>
      </c>
      <c r="L123" s="20">
        <v>0</v>
      </c>
      <c r="M123" s="20">
        <v>10771</v>
      </c>
      <c r="N123" s="20">
        <v>40821</v>
      </c>
      <c r="O123" s="20">
        <v>116771</v>
      </c>
      <c r="P123" s="41">
        <v>1175.48</v>
      </c>
      <c r="Q123" s="41">
        <v>-11651.45</v>
      </c>
      <c r="R123" s="41">
        <v>14217.650000000001</v>
      </c>
      <c r="S123" s="41">
        <v>3436.1000000000004</v>
      </c>
      <c r="T123" s="41">
        <v>6738.24</v>
      </c>
      <c r="U123" s="41">
        <v>894.77999999999952</v>
      </c>
      <c r="V123" s="41">
        <v>2199.7899999999995</v>
      </c>
      <c r="W123" s="41">
        <v>2941.02</v>
      </c>
    </row>
    <row r="124" spans="1:23" hidden="1" x14ac:dyDescent="0.25">
      <c r="A124" s="18">
        <v>4397</v>
      </c>
      <c r="B124" s="19">
        <v>4080</v>
      </c>
      <c r="C124" s="19" t="s">
        <v>236</v>
      </c>
      <c r="D124" s="19" t="s">
        <v>237</v>
      </c>
      <c r="E124" s="19" t="s">
        <v>57</v>
      </c>
      <c r="F124" s="19" t="s">
        <v>233</v>
      </c>
      <c r="G124" s="20" t="str">
        <f>IF(LEN(Table12_52_03[[#This Row],[Ledger Code]])&gt;3,"AR"&amp;Table12_52_03[[#This Row],[Ledger Code]],"TBC")</f>
        <v>AR4080</v>
      </c>
      <c r="H124" s="20">
        <v>36060</v>
      </c>
      <c r="I124" s="20">
        <v>19960</v>
      </c>
      <c r="J124" s="20">
        <v>41757</v>
      </c>
      <c r="K124" s="20">
        <v>82090</v>
      </c>
      <c r="L124" s="20">
        <v>63407</v>
      </c>
      <c r="M124" s="20">
        <v>19730</v>
      </c>
      <c r="N124" s="20">
        <v>26017</v>
      </c>
      <c r="O124" s="20">
        <v>95048</v>
      </c>
      <c r="P124" s="41">
        <v>0</v>
      </c>
      <c r="Q124" s="41">
        <v>0</v>
      </c>
      <c r="R124" s="41">
        <v>4484.8599999999988</v>
      </c>
      <c r="S124" s="41">
        <v>3124.16</v>
      </c>
      <c r="T124" s="41">
        <v>2285.4499999999998</v>
      </c>
      <c r="U124" s="41">
        <v>741.46000000000049</v>
      </c>
      <c r="V124" s="41">
        <v>1113.6399999999994</v>
      </c>
      <c r="W124" s="41">
        <v>2118.5</v>
      </c>
    </row>
    <row r="125" spans="1:23" hidden="1" x14ac:dyDescent="0.25">
      <c r="A125" s="18">
        <v>4487</v>
      </c>
      <c r="B125" s="19">
        <v>6591</v>
      </c>
      <c r="C125" s="19" t="s">
        <v>238</v>
      </c>
      <c r="D125" s="19" t="s">
        <v>239</v>
      </c>
      <c r="E125" s="19" t="s">
        <v>9</v>
      </c>
      <c r="F125" s="19" t="s">
        <v>10</v>
      </c>
      <c r="G125" s="20" t="str">
        <f>IF(LEN(Table12_52_03[[#This Row],[Ledger Code]])&gt;3,"AR"&amp;Table12_52_03[[#This Row],[Ledger Code]],"TBC")</f>
        <v>AR6591</v>
      </c>
      <c r="H125" s="20">
        <v>0</v>
      </c>
      <c r="I125" s="20">
        <v>0</v>
      </c>
      <c r="J125" s="20">
        <v>0</v>
      </c>
      <c r="K125" s="20">
        <v>0</v>
      </c>
      <c r="L125" s="20">
        <v>0</v>
      </c>
      <c r="M125" s="20">
        <v>0</v>
      </c>
      <c r="N125" s="20">
        <v>0</v>
      </c>
      <c r="O125" s="20">
        <v>0</v>
      </c>
      <c r="P125" s="41">
        <v>0</v>
      </c>
      <c r="Q125" s="41">
        <v>0</v>
      </c>
      <c r="R125" s="41">
        <v>0</v>
      </c>
      <c r="S125" s="41">
        <v>1976.96</v>
      </c>
      <c r="T125" s="41">
        <v>0</v>
      </c>
      <c r="U125" s="41">
        <v>9.0949470177292824E-13</v>
      </c>
      <c r="V125" s="41">
        <v>0</v>
      </c>
      <c r="W125" s="41">
        <v>0</v>
      </c>
    </row>
    <row r="126" spans="1:23" hidden="1" x14ac:dyDescent="0.25">
      <c r="A126" s="18">
        <v>4585</v>
      </c>
      <c r="B126" s="19">
        <v>6599</v>
      </c>
      <c r="C126" s="19" t="s">
        <v>240</v>
      </c>
      <c r="D126" s="19" t="s">
        <v>241</v>
      </c>
      <c r="E126" s="19" t="s">
        <v>9</v>
      </c>
      <c r="F126" s="19" t="s">
        <v>10</v>
      </c>
      <c r="G126" s="20" t="str">
        <f>IF(LEN(Table12_52_03[[#This Row],[Ledger Code]])&gt;3,"AR"&amp;Table12_52_03[[#This Row],[Ledger Code]],"TBC")</f>
        <v>AR6599</v>
      </c>
      <c r="H126" s="20">
        <v>21876</v>
      </c>
      <c r="I126" s="20">
        <v>7985</v>
      </c>
      <c r="J126" s="20">
        <v>57845</v>
      </c>
      <c r="K126" s="20">
        <v>77027</v>
      </c>
      <c r="L126" s="20">
        <v>10685</v>
      </c>
      <c r="M126" s="20">
        <v>32299</v>
      </c>
      <c r="N126" s="20">
        <v>31887</v>
      </c>
      <c r="O126" s="20">
        <v>79163</v>
      </c>
      <c r="P126" s="41">
        <v>0</v>
      </c>
      <c r="Q126" s="41">
        <v>2078.7900000000004</v>
      </c>
      <c r="R126" s="41">
        <v>2167.67</v>
      </c>
      <c r="S126" s="41">
        <v>4244.2000000000007</v>
      </c>
      <c r="T126" s="41">
        <v>1353.8800000000003</v>
      </c>
      <c r="U126" s="41">
        <v>2901.7200000000034</v>
      </c>
      <c r="V126" s="41">
        <v>490.01999999999987</v>
      </c>
      <c r="W126" s="41">
        <v>1995.1100000000001</v>
      </c>
    </row>
    <row r="127" spans="1:23" hidden="1" x14ac:dyDescent="0.25">
      <c r="A127" s="18">
        <v>4752</v>
      </c>
      <c r="B127" s="19">
        <v>7665</v>
      </c>
      <c r="C127" s="19" t="s">
        <v>242</v>
      </c>
      <c r="D127" s="19" t="s">
        <v>243</v>
      </c>
      <c r="E127" s="19" t="s">
        <v>220</v>
      </c>
      <c r="F127" s="19" t="s">
        <v>244</v>
      </c>
      <c r="G127" s="20" t="str">
        <f>IF(LEN(Table12_52_03[[#This Row],[Ledger Code]])&gt;3,"AR"&amp;Table12_52_03[[#This Row],[Ledger Code]],"TBC")</f>
        <v>AR7665</v>
      </c>
      <c r="H127" s="20">
        <v>54322</v>
      </c>
      <c r="I127" s="20">
        <v>2277</v>
      </c>
      <c r="J127" s="20">
        <v>55688</v>
      </c>
      <c r="K127" s="20">
        <v>135602</v>
      </c>
      <c r="L127" s="20">
        <v>62213</v>
      </c>
      <c r="M127" s="20">
        <v>12648</v>
      </c>
      <c r="N127" s="20">
        <v>48668</v>
      </c>
      <c r="O127" s="20">
        <v>153037</v>
      </c>
      <c r="P127" s="41">
        <v>0</v>
      </c>
      <c r="Q127" s="41">
        <v>2077.0100000000002</v>
      </c>
      <c r="R127" s="41">
        <v>2003.01</v>
      </c>
      <c r="S127" s="41">
        <v>4622.2300000000005</v>
      </c>
      <c r="T127" s="41">
        <v>2406.69</v>
      </c>
      <c r="U127" s="41">
        <v>709.24000000000012</v>
      </c>
      <c r="V127" s="41">
        <v>2007.9099999999999</v>
      </c>
      <c r="W127" s="41">
        <v>3391.7799999999997</v>
      </c>
    </row>
    <row r="128" spans="1:23" hidden="1" x14ac:dyDescent="0.25">
      <c r="A128" s="18">
        <v>4770</v>
      </c>
      <c r="B128" s="19">
        <v>7698</v>
      </c>
      <c r="C128" s="19" t="s">
        <v>245</v>
      </c>
      <c r="D128" s="19" t="s">
        <v>246</v>
      </c>
      <c r="E128" s="19" t="s">
        <v>220</v>
      </c>
      <c r="F128" s="19" t="s">
        <v>244</v>
      </c>
      <c r="G128" s="20" t="str">
        <f>IF(LEN(Table12_52_03[[#This Row],[Ledger Code]])&gt;3,"AR"&amp;Table12_52_03[[#This Row],[Ledger Code]],"TBC")</f>
        <v>AR7698</v>
      </c>
      <c r="H128" s="20">
        <v>32242</v>
      </c>
      <c r="I128" s="20">
        <v>1189</v>
      </c>
      <c r="J128" s="20">
        <v>32743</v>
      </c>
      <c r="K128" s="20">
        <v>77926</v>
      </c>
      <c r="L128" s="20">
        <v>21649</v>
      </c>
      <c r="M128" s="20">
        <v>1719</v>
      </c>
      <c r="N128" s="20">
        <v>35700</v>
      </c>
      <c r="O128" s="20">
        <v>89627</v>
      </c>
      <c r="P128" s="41">
        <v>0</v>
      </c>
      <c r="Q128" s="41">
        <v>2098.79</v>
      </c>
      <c r="R128" s="41">
        <v>2406.5699999999997</v>
      </c>
      <c r="S128" s="41">
        <v>2853.79</v>
      </c>
      <c r="T128" s="41">
        <v>1035.9299999999998</v>
      </c>
      <c r="U128" s="41">
        <v>388.51999999999987</v>
      </c>
      <c r="V128" s="41">
        <v>1473.3799999999997</v>
      </c>
      <c r="W128" s="41">
        <v>2095.0100000000002</v>
      </c>
    </row>
    <row r="129" spans="1:23" hidden="1" x14ac:dyDescent="0.25">
      <c r="A129" s="18">
        <v>4801</v>
      </c>
      <c r="B129" s="19">
        <v>7829</v>
      </c>
      <c r="C129" s="19" t="s">
        <v>247</v>
      </c>
      <c r="D129" s="19" t="s">
        <v>248</v>
      </c>
      <c r="E129" s="19" t="s">
        <v>220</v>
      </c>
      <c r="F129" s="19" t="s">
        <v>244</v>
      </c>
      <c r="G129" s="20" t="str">
        <f>IF(LEN(Table12_52_03[[#This Row],[Ledger Code]])&gt;3,"AR"&amp;Table12_52_03[[#This Row],[Ledger Code]],"TBC")</f>
        <v>AR7829</v>
      </c>
      <c r="H129" s="20">
        <v>0</v>
      </c>
      <c r="I129" s="20">
        <v>0</v>
      </c>
      <c r="J129" s="20">
        <v>0</v>
      </c>
      <c r="K129" s="20">
        <v>0</v>
      </c>
      <c r="L129" s="20">
        <v>0</v>
      </c>
      <c r="M129" s="20">
        <v>0</v>
      </c>
      <c r="N129" s="20">
        <v>0</v>
      </c>
      <c r="O129" s="20">
        <v>0</v>
      </c>
      <c r="P129" s="41">
        <v>0</v>
      </c>
      <c r="Q129" s="41">
        <v>0</v>
      </c>
      <c r="R129" s="41">
        <v>0</v>
      </c>
      <c r="S129" s="41">
        <v>0</v>
      </c>
      <c r="T129" s="41">
        <v>0</v>
      </c>
      <c r="U129" s="41">
        <v>0</v>
      </c>
      <c r="V129" s="41">
        <v>0</v>
      </c>
      <c r="W129" s="41">
        <v>0</v>
      </c>
    </row>
    <row r="130" spans="1:23" hidden="1" x14ac:dyDescent="0.25">
      <c r="A130" s="18">
        <v>4925</v>
      </c>
      <c r="B130" s="19">
        <v>4233</v>
      </c>
      <c r="C130" s="19" t="s">
        <v>249</v>
      </c>
      <c r="D130" s="19" t="s">
        <v>250</v>
      </c>
      <c r="E130" s="19" t="s">
        <v>57</v>
      </c>
      <c r="F130" s="19" t="s">
        <v>233</v>
      </c>
      <c r="G130" s="20" t="str">
        <f>IF(LEN(Table12_52_03[[#This Row],[Ledger Code]])&gt;3,"AR"&amp;Table12_52_03[[#This Row],[Ledger Code]],"TBC")</f>
        <v>AR4233</v>
      </c>
      <c r="H130" s="20">
        <v>27184</v>
      </c>
      <c r="I130" s="20">
        <v>4225</v>
      </c>
      <c r="J130" s="20">
        <v>16803</v>
      </c>
      <c r="K130" s="20">
        <v>47788</v>
      </c>
      <c r="L130" s="20">
        <v>70800</v>
      </c>
      <c r="M130" s="20">
        <v>28517</v>
      </c>
      <c r="N130" s="20">
        <v>35749</v>
      </c>
      <c r="O130" s="20">
        <v>79395</v>
      </c>
      <c r="P130" s="41">
        <v>0</v>
      </c>
      <c r="Q130" s="41">
        <v>0</v>
      </c>
      <c r="R130" s="41">
        <v>0</v>
      </c>
      <c r="S130" s="41">
        <v>6806.4399999999987</v>
      </c>
      <c r="T130" s="41">
        <v>2019.46</v>
      </c>
      <c r="U130" s="41">
        <v>307.77000000000066</v>
      </c>
      <c r="V130" s="41">
        <v>1469.04</v>
      </c>
      <c r="W130" s="41">
        <v>1877.42</v>
      </c>
    </row>
    <row r="131" spans="1:23" hidden="1" x14ac:dyDescent="0.25">
      <c r="A131" s="18">
        <v>4951</v>
      </c>
      <c r="B131" s="19">
        <v>4287</v>
      </c>
      <c r="C131" s="19" t="s">
        <v>251</v>
      </c>
      <c r="D131" s="19" t="s">
        <v>252</v>
      </c>
      <c r="E131" s="19" t="s">
        <v>57</v>
      </c>
      <c r="F131" s="19" t="s">
        <v>233</v>
      </c>
      <c r="G131" s="20" t="str">
        <f>IF(LEN(Table12_52_03[[#This Row],[Ledger Code]])&gt;3,"AR"&amp;Table12_52_03[[#This Row],[Ledger Code]],"TBC")</f>
        <v>AR4287</v>
      </c>
      <c r="H131" s="20">
        <v>0</v>
      </c>
      <c r="I131" s="20">
        <v>0</v>
      </c>
      <c r="J131" s="20">
        <v>0</v>
      </c>
      <c r="K131" s="20">
        <v>0</v>
      </c>
      <c r="L131" s="20">
        <v>0</v>
      </c>
      <c r="M131" s="20">
        <v>0</v>
      </c>
      <c r="N131" s="20">
        <v>0</v>
      </c>
      <c r="O131" s="20">
        <v>0</v>
      </c>
      <c r="P131" s="41">
        <v>0</v>
      </c>
      <c r="Q131" s="41">
        <v>0</v>
      </c>
      <c r="R131" s="41">
        <v>0</v>
      </c>
      <c r="S131" s="41">
        <v>0</v>
      </c>
      <c r="T131" s="41">
        <v>0</v>
      </c>
      <c r="U131" s="41">
        <v>0</v>
      </c>
      <c r="V131" s="41">
        <v>0</v>
      </c>
      <c r="W131" s="41">
        <v>0</v>
      </c>
    </row>
    <row r="132" spans="1:23" hidden="1" x14ac:dyDescent="0.25">
      <c r="A132" s="18">
        <v>4966</v>
      </c>
      <c r="B132" s="19">
        <v>4301</v>
      </c>
      <c r="C132" s="19" t="s">
        <v>253</v>
      </c>
      <c r="D132" s="19" t="s">
        <v>254</v>
      </c>
      <c r="E132" s="19" t="s">
        <v>57</v>
      </c>
      <c r="F132" s="19" t="s">
        <v>233</v>
      </c>
      <c r="G132" s="20" t="str">
        <f>IF(LEN(Table12_52_03[[#This Row],[Ledger Code]])&gt;3,"AR"&amp;Table12_52_03[[#This Row],[Ledger Code]],"TBC")</f>
        <v>AR4301</v>
      </c>
      <c r="H132" s="20">
        <v>0</v>
      </c>
      <c r="I132" s="20">
        <v>0</v>
      </c>
      <c r="J132" s="20">
        <v>0</v>
      </c>
      <c r="K132" s="20">
        <v>32809</v>
      </c>
      <c r="L132" s="20">
        <v>46412</v>
      </c>
      <c r="M132" s="20">
        <v>11358</v>
      </c>
      <c r="N132" s="20">
        <v>29151</v>
      </c>
      <c r="O132" s="20">
        <v>63545</v>
      </c>
      <c r="P132" s="41">
        <v>0</v>
      </c>
      <c r="Q132" s="41">
        <v>0</v>
      </c>
      <c r="R132" s="41">
        <v>4396.4799999999996</v>
      </c>
      <c r="S132" s="41">
        <v>2798.2899999999995</v>
      </c>
      <c r="T132" s="41">
        <v>1633.7</v>
      </c>
      <c r="U132" s="41">
        <v>381.62</v>
      </c>
      <c r="V132" s="41">
        <v>1093.6500000000001</v>
      </c>
      <c r="W132" s="41">
        <v>1560.52</v>
      </c>
    </row>
    <row r="133" spans="1:23" hidden="1" x14ac:dyDescent="0.25">
      <c r="A133" s="18">
        <v>4979</v>
      </c>
      <c r="B133" s="19">
        <v>4325</v>
      </c>
      <c r="C133" s="19" t="s">
        <v>255</v>
      </c>
      <c r="D133" s="19" t="s">
        <v>256</v>
      </c>
      <c r="E133" s="19" t="s">
        <v>57</v>
      </c>
      <c r="F133" s="19" t="s">
        <v>233</v>
      </c>
      <c r="G133" s="20" t="str">
        <f>IF(LEN(Table12_52_03[[#This Row],[Ledger Code]])&gt;3,"AR"&amp;Table12_52_03[[#This Row],[Ledger Code]],"TBC")</f>
        <v>AR4325</v>
      </c>
      <c r="H133" s="20">
        <v>35925</v>
      </c>
      <c r="I133" s="20">
        <v>26881</v>
      </c>
      <c r="J133" s="20">
        <v>-22342</v>
      </c>
      <c r="K133" s="20">
        <v>196537</v>
      </c>
      <c r="L133" s="20">
        <v>35123</v>
      </c>
      <c r="M133" s="20">
        <v>38621</v>
      </c>
      <c r="N133" s="20">
        <v>68053</v>
      </c>
      <c r="O133" s="20">
        <v>76246</v>
      </c>
      <c r="P133" s="41">
        <v>0</v>
      </c>
      <c r="Q133" s="41">
        <v>0</v>
      </c>
      <c r="R133" s="41">
        <v>0</v>
      </c>
      <c r="S133" s="41">
        <v>7334.5800000000008</v>
      </c>
      <c r="T133" s="41">
        <v>2239.5100000000002</v>
      </c>
      <c r="U133" s="41">
        <v>1485.0899999999997</v>
      </c>
      <c r="V133" s="41">
        <v>2471.1799999999998</v>
      </c>
      <c r="W133" s="41">
        <v>2477.4499999999994</v>
      </c>
    </row>
    <row r="134" spans="1:23" hidden="1" x14ac:dyDescent="0.25">
      <c r="A134" s="18">
        <v>4991</v>
      </c>
      <c r="B134" s="19">
        <v>4353</v>
      </c>
      <c r="C134" s="19" t="s">
        <v>257</v>
      </c>
      <c r="D134" s="19" t="s">
        <v>258</v>
      </c>
      <c r="E134" s="19" t="s">
        <v>57</v>
      </c>
      <c r="F134" s="19" t="s">
        <v>233</v>
      </c>
      <c r="G134" s="20" t="str">
        <f>IF(LEN(Table12_52_03[[#This Row],[Ledger Code]])&gt;3,"AR"&amp;Table12_52_03[[#This Row],[Ledger Code]],"TBC")</f>
        <v>AR4353</v>
      </c>
      <c r="H134" s="20">
        <v>0</v>
      </c>
      <c r="I134" s="20">
        <v>0</v>
      </c>
      <c r="J134" s="20">
        <v>0</v>
      </c>
      <c r="K134" s="20">
        <v>0</v>
      </c>
      <c r="L134" s="20">
        <v>0</v>
      </c>
      <c r="M134" s="20">
        <v>0</v>
      </c>
      <c r="N134" s="20">
        <v>0</v>
      </c>
      <c r="O134" s="20">
        <v>0</v>
      </c>
      <c r="P134" s="41">
        <v>2333.56</v>
      </c>
      <c r="Q134" s="41">
        <v>2499.4299999999998</v>
      </c>
      <c r="R134" s="41">
        <v>1346.9800000000005</v>
      </c>
      <c r="S134" s="41">
        <v>11272.89</v>
      </c>
      <c r="T134" s="41">
        <v>653.10000000000036</v>
      </c>
      <c r="U134" s="41">
        <v>-3.1832314562052488E-12</v>
      </c>
      <c r="V134" s="41">
        <v>4276.0599999999977</v>
      </c>
      <c r="W134" s="41">
        <v>0</v>
      </c>
    </row>
    <row r="135" spans="1:23" hidden="1" x14ac:dyDescent="0.25">
      <c r="A135" s="18">
        <v>5135</v>
      </c>
      <c r="B135" s="19">
        <v>8656</v>
      </c>
      <c r="C135" s="19" t="s">
        <v>259</v>
      </c>
      <c r="D135" s="19" t="s">
        <v>260</v>
      </c>
      <c r="E135" s="19" t="s">
        <v>26</v>
      </c>
      <c r="F135" s="19" t="s">
        <v>175</v>
      </c>
      <c r="G135" s="20" t="str">
        <f>IF(LEN(Table12_52_03[[#This Row],[Ledger Code]])&gt;3,"AR"&amp;Table12_52_03[[#This Row],[Ledger Code]],"TBC")</f>
        <v>AR8656</v>
      </c>
      <c r="H135" s="20">
        <v>80822</v>
      </c>
      <c r="I135" s="20">
        <v>14123</v>
      </c>
      <c r="J135" s="20">
        <v>56795</v>
      </c>
      <c r="K135" s="20">
        <v>113002</v>
      </c>
      <c r="L135" s="20">
        <v>97866</v>
      </c>
      <c r="M135" s="20">
        <v>10189</v>
      </c>
      <c r="N135" s="20">
        <v>86963</v>
      </c>
      <c r="O135" s="20">
        <v>91348</v>
      </c>
      <c r="P135" s="41">
        <v>0</v>
      </c>
      <c r="Q135" s="41">
        <v>3639.0299999999997</v>
      </c>
      <c r="R135" s="41">
        <v>2520.7599999999993</v>
      </c>
      <c r="S135" s="41">
        <v>4094.8500000000004</v>
      </c>
      <c r="T135" s="41">
        <v>3256.83</v>
      </c>
      <c r="U135" s="41">
        <v>1366.43</v>
      </c>
      <c r="V135" s="41">
        <v>2391.1499999999996</v>
      </c>
      <c r="W135" s="41">
        <v>1928.6400000000012</v>
      </c>
    </row>
    <row r="136" spans="1:23" hidden="1" x14ac:dyDescent="0.25">
      <c r="A136" s="18">
        <v>5150</v>
      </c>
      <c r="B136" s="19">
        <v>8653</v>
      </c>
      <c r="C136" s="19" t="s">
        <v>261</v>
      </c>
      <c r="D136" s="19" t="s">
        <v>262</v>
      </c>
      <c r="E136" s="19" t="s">
        <v>26</v>
      </c>
      <c r="F136" s="19" t="s">
        <v>175</v>
      </c>
      <c r="G136" s="20" t="str">
        <f>IF(LEN(Table12_52_03[[#This Row],[Ledger Code]])&gt;3,"AR"&amp;Table12_52_03[[#This Row],[Ledger Code]],"TBC")</f>
        <v>AR8653</v>
      </c>
      <c r="H136" s="20">
        <v>0</v>
      </c>
      <c r="I136" s="20">
        <v>0</v>
      </c>
      <c r="J136" s="20">
        <v>0</v>
      </c>
      <c r="K136" s="20">
        <v>0</v>
      </c>
      <c r="L136" s="20">
        <v>0</v>
      </c>
      <c r="M136" s="20">
        <v>0</v>
      </c>
      <c r="N136" s="20">
        <v>0</v>
      </c>
      <c r="O136" s="20">
        <v>0</v>
      </c>
      <c r="P136" s="41">
        <v>0</v>
      </c>
      <c r="Q136" s="41">
        <v>0</v>
      </c>
      <c r="R136" s="41">
        <v>-7.2775119264179011E-14</v>
      </c>
      <c r="S136" s="41">
        <v>-1.1368683772161603E-13</v>
      </c>
      <c r="T136" s="41">
        <v>0</v>
      </c>
      <c r="U136" s="41">
        <v>0</v>
      </c>
      <c r="V136" s="41">
        <v>0</v>
      </c>
      <c r="W136" s="41">
        <v>0</v>
      </c>
    </row>
    <row r="137" spans="1:23" hidden="1" x14ac:dyDescent="0.25">
      <c r="A137" s="18">
        <v>5151</v>
      </c>
      <c r="B137" s="19">
        <v>8667</v>
      </c>
      <c r="C137" s="19" t="s">
        <v>263</v>
      </c>
      <c r="D137" s="19" t="s">
        <v>264</v>
      </c>
      <c r="E137" s="19" t="s">
        <v>26</v>
      </c>
      <c r="F137" s="19" t="s">
        <v>175</v>
      </c>
      <c r="G137" s="20" t="str">
        <f>IF(LEN(Table12_52_03[[#This Row],[Ledger Code]])&gt;3,"AR"&amp;Table12_52_03[[#This Row],[Ledger Code]],"TBC")</f>
        <v>AR8667</v>
      </c>
      <c r="H137" s="20">
        <v>0</v>
      </c>
      <c r="I137" s="20">
        <v>0</v>
      </c>
      <c r="J137" s="20">
        <v>0</v>
      </c>
      <c r="K137" s="20">
        <v>0</v>
      </c>
      <c r="L137" s="20">
        <v>0</v>
      </c>
      <c r="M137" s="20">
        <v>0</v>
      </c>
      <c r="N137" s="20">
        <v>0</v>
      </c>
      <c r="O137" s="20">
        <v>0</v>
      </c>
      <c r="P137" s="41">
        <v>0</v>
      </c>
      <c r="Q137" s="41">
        <v>0</v>
      </c>
      <c r="R137" s="41">
        <v>0</v>
      </c>
      <c r="S137" s="41">
        <v>0</v>
      </c>
      <c r="T137" s="41">
        <v>0</v>
      </c>
      <c r="U137" s="41">
        <v>0</v>
      </c>
      <c r="V137" s="41">
        <v>0</v>
      </c>
      <c r="W137" s="41">
        <v>0</v>
      </c>
    </row>
    <row r="138" spans="1:23" hidden="1" x14ac:dyDescent="0.25">
      <c r="A138" s="18">
        <v>5237</v>
      </c>
      <c r="B138" s="19">
        <v>8756</v>
      </c>
      <c r="C138" s="19" t="s">
        <v>265</v>
      </c>
      <c r="D138" s="19" t="s">
        <v>266</v>
      </c>
      <c r="E138" s="19" t="s">
        <v>26</v>
      </c>
      <c r="F138" s="19" t="s">
        <v>175</v>
      </c>
      <c r="G138" s="20" t="str">
        <f>IF(LEN(Table12_52_03[[#This Row],[Ledger Code]])&gt;3,"AR"&amp;Table12_52_03[[#This Row],[Ledger Code]],"TBC")</f>
        <v>AR8756</v>
      </c>
      <c r="H138" s="20">
        <v>0</v>
      </c>
      <c r="I138" s="20">
        <v>0</v>
      </c>
      <c r="J138" s="20">
        <v>0</v>
      </c>
      <c r="K138" s="20">
        <v>0</v>
      </c>
      <c r="L138" s="20">
        <v>0</v>
      </c>
      <c r="M138" s="20">
        <v>0</v>
      </c>
      <c r="N138" s="20">
        <v>0</v>
      </c>
      <c r="O138" s="20">
        <v>0</v>
      </c>
      <c r="P138" s="41">
        <v>0</v>
      </c>
      <c r="Q138" s="41">
        <v>0</v>
      </c>
      <c r="R138" s="41">
        <v>0</v>
      </c>
      <c r="S138" s="41">
        <v>2179.46</v>
      </c>
      <c r="T138" s="41">
        <v>0</v>
      </c>
      <c r="U138" s="41">
        <v>3269.19</v>
      </c>
      <c r="V138" s="41">
        <v>0</v>
      </c>
      <c r="W138" s="41">
        <v>0</v>
      </c>
    </row>
    <row r="139" spans="1:23" hidden="1" x14ac:dyDescent="0.25">
      <c r="A139" s="18">
        <v>5241</v>
      </c>
      <c r="B139" s="19">
        <v>8759</v>
      </c>
      <c r="C139" s="19" t="s">
        <v>267</v>
      </c>
      <c r="D139" s="19" t="s">
        <v>268</v>
      </c>
      <c r="E139" s="19" t="s">
        <v>26</v>
      </c>
      <c r="F139" s="19" t="s">
        <v>175</v>
      </c>
      <c r="G139" s="20" t="str">
        <f>IF(LEN(Table12_52_03[[#This Row],[Ledger Code]])&gt;3,"AR"&amp;Table12_52_03[[#This Row],[Ledger Code]],"TBC")</f>
        <v>AR8759</v>
      </c>
      <c r="H139" s="20">
        <v>0</v>
      </c>
      <c r="I139" s="20">
        <v>0</v>
      </c>
      <c r="J139" s="20">
        <v>0</v>
      </c>
      <c r="K139" s="20">
        <v>0</v>
      </c>
      <c r="L139" s="20">
        <v>0</v>
      </c>
      <c r="M139" s="20">
        <v>0</v>
      </c>
      <c r="N139" s="20">
        <v>-926756</v>
      </c>
      <c r="O139" s="20">
        <v>3007065</v>
      </c>
      <c r="P139" s="41">
        <v>0</v>
      </c>
      <c r="Q139" s="41">
        <v>98375.590000000011</v>
      </c>
      <c r="R139" s="41">
        <v>78819.240000000034</v>
      </c>
      <c r="S139" s="41">
        <v>78719.73000000001</v>
      </c>
      <c r="T139" s="41">
        <v>75128.709999999992</v>
      </c>
      <c r="U139" s="41">
        <v>56978.559999999998</v>
      </c>
      <c r="V139" s="41">
        <v>34371.679999999993</v>
      </c>
      <c r="W139" s="41">
        <v>63588.54</v>
      </c>
    </row>
    <row r="140" spans="1:23" hidden="1" x14ac:dyDescent="0.25">
      <c r="A140" s="18">
        <v>5282</v>
      </c>
      <c r="B140" s="19">
        <v>8886</v>
      </c>
      <c r="C140" s="19" t="s">
        <v>269</v>
      </c>
      <c r="D140" s="19" t="s">
        <v>270</v>
      </c>
      <c r="E140" s="19" t="s">
        <v>26</v>
      </c>
      <c r="F140" s="19" t="s">
        <v>27</v>
      </c>
      <c r="G140" s="20" t="str">
        <f>IF(LEN(Table12_52_03[[#This Row],[Ledger Code]])&gt;3,"AR"&amp;Table12_52_03[[#This Row],[Ledger Code]],"TBC")</f>
        <v>AR8886</v>
      </c>
      <c r="H140" s="20">
        <v>55892</v>
      </c>
      <c r="I140" s="20">
        <v>3279</v>
      </c>
      <c r="J140" s="20">
        <v>55702</v>
      </c>
      <c r="K140" s="20">
        <v>225379</v>
      </c>
      <c r="L140" s="20">
        <v>42953</v>
      </c>
      <c r="M140" s="20">
        <v>2263</v>
      </c>
      <c r="N140" s="20">
        <v>118893</v>
      </c>
      <c r="O140" s="20">
        <v>128474</v>
      </c>
      <c r="P140" s="41">
        <v>0</v>
      </c>
      <c r="Q140" s="41">
        <v>2487.2499999999995</v>
      </c>
      <c r="R140" s="41">
        <v>1926.2699999999984</v>
      </c>
      <c r="S140" s="41">
        <v>5987.8599999999988</v>
      </c>
      <c r="T140" s="41">
        <v>3484.9900000000002</v>
      </c>
      <c r="U140" s="41">
        <v>686.66000000000031</v>
      </c>
      <c r="V140" s="41">
        <v>2897.62</v>
      </c>
      <c r="W140" s="41">
        <v>3945.58</v>
      </c>
    </row>
    <row r="141" spans="1:23" hidden="1" x14ac:dyDescent="0.25">
      <c r="A141" s="18">
        <v>5350</v>
      </c>
      <c r="B141" s="19">
        <v>8881</v>
      </c>
      <c r="C141" s="19" t="s">
        <v>271</v>
      </c>
      <c r="D141" s="19" t="s">
        <v>272</v>
      </c>
      <c r="E141" s="19" t="s">
        <v>26</v>
      </c>
      <c r="F141" s="19" t="s">
        <v>27</v>
      </c>
      <c r="G141" s="20" t="str">
        <f>IF(LEN(Table12_52_03[[#This Row],[Ledger Code]])&gt;3,"AR"&amp;Table12_52_03[[#This Row],[Ledger Code]],"TBC")</f>
        <v>AR8881</v>
      </c>
      <c r="H141" s="20">
        <v>336379</v>
      </c>
      <c r="I141" s="20">
        <v>71576</v>
      </c>
      <c r="J141" s="20">
        <v>356133</v>
      </c>
      <c r="K141" s="20">
        <v>948560</v>
      </c>
      <c r="L141" s="20">
        <v>277653</v>
      </c>
      <c r="M141" s="20">
        <v>128139</v>
      </c>
      <c r="N141" s="20">
        <v>299600</v>
      </c>
      <c r="O141" s="20">
        <v>800072</v>
      </c>
      <c r="P141" s="41">
        <v>0</v>
      </c>
      <c r="Q141" s="41">
        <v>17068.520000000008</v>
      </c>
      <c r="R141" s="41">
        <v>13742.5</v>
      </c>
      <c r="S141" s="41">
        <v>25704.43</v>
      </c>
      <c r="T141" s="41">
        <v>16547.77</v>
      </c>
      <c r="U141" s="41">
        <v>6773.579999999999</v>
      </c>
      <c r="V141" s="41">
        <v>13336.420000000002</v>
      </c>
      <c r="W141" s="41">
        <v>16101.400000000001</v>
      </c>
    </row>
    <row r="142" spans="1:23" hidden="1" x14ac:dyDescent="0.25">
      <c r="A142" s="18">
        <v>5356</v>
      </c>
      <c r="B142" s="19">
        <v>8888</v>
      </c>
      <c r="C142" s="19" t="s">
        <v>273</v>
      </c>
      <c r="D142" s="19" t="s">
        <v>274</v>
      </c>
      <c r="E142" s="19" t="s">
        <v>26</v>
      </c>
      <c r="F142" s="19" t="s">
        <v>27</v>
      </c>
      <c r="G142" s="20" t="str">
        <f>IF(LEN(Table12_52_03[[#This Row],[Ledger Code]])&gt;3,"AR"&amp;Table12_52_03[[#This Row],[Ledger Code]],"TBC")</f>
        <v>AR8888</v>
      </c>
      <c r="H142" s="20">
        <v>10032</v>
      </c>
      <c r="I142" s="20">
        <v>864</v>
      </c>
      <c r="J142" s="20">
        <v>7923</v>
      </c>
      <c r="K142" s="20">
        <v>41112</v>
      </c>
      <c r="L142" s="20">
        <v>7941</v>
      </c>
      <c r="M142" s="20">
        <v>319</v>
      </c>
      <c r="N142" s="20">
        <v>16717</v>
      </c>
      <c r="O142" s="20">
        <v>18976</v>
      </c>
      <c r="P142" s="41">
        <v>0</v>
      </c>
      <c r="Q142" s="41">
        <v>659.68</v>
      </c>
      <c r="R142" s="41">
        <v>391.9099999999998</v>
      </c>
      <c r="S142" s="41">
        <v>1240.92</v>
      </c>
      <c r="T142" s="41">
        <v>722.02</v>
      </c>
      <c r="U142" s="41">
        <v>201.43000000000006</v>
      </c>
      <c r="V142" s="41">
        <v>524.68000000000006</v>
      </c>
      <c r="W142" s="41">
        <v>580.75</v>
      </c>
    </row>
    <row r="143" spans="1:23" hidden="1" x14ac:dyDescent="0.25">
      <c r="A143" s="18">
        <v>5385</v>
      </c>
      <c r="B143" s="19">
        <v>8852</v>
      </c>
      <c r="C143" s="19" t="s">
        <v>44</v>
      </c>
      <c r="D143" s="19" t="s">
        <v>275</v>
      </c>
      <c r="E143" s="19" t="s">
        <v>26</v>
      </c>
      <c r="F143" s="19" t="s">
        <v>27</v>
      </c>
      <c r="G143" s="20" t="str">
        <f>IF(LEN(Table12_52_03[[#This Row],[Ledger Code]])&gt;3,"AR"&amp;Table12_52_03[[#This Row],[Ledger Code]],"TBC")</f>
        <v>AR8852</v>
      </c>
      <c r="H143" s="20">
        <v>103401</v>
      </c>
      <c r="I143" s="20">
        <v>44257</v>
      </c>
      <c r="J143" s="20">
        <v>80438</v>
      </c>
      <c r="K143" s="20">
        <v>228954</v>
      </c>
      <c r="L143" s="20">
        <v>74432</v>
      </c>
      <c r="M143" s="20">
        <v>46473</v>
      </c>
      <c r="N143" s="20">
        <v>90335</v>
      </c>
      <c r="O143" s="20">
        <v>202932</v>
      </c>
      <c r="P143" s="41">
        <v>0</v>
      </c>
      <c r="Q143" s="41">
        <v>0</v>
      </c>
      <c r="R143" s="41">
        <v>0</v>
      </c>
      <c r="S143" s="41">
        <v>2120.2399999999998</v>
      </c>
      <c r="T143" s="41">
        <v>18644.97</v>
      </c>
      <c r="U143" s="41">
        <v>2465.8099999999995</v>
      </c>
      <c r="V143" s="41">
        <v>3862.6700000000005</v>
      </c>
      <c r="W143" s="41">
        <v>4534.34</v>
      </c>
    </row>
    <row r="144" spans="1:23" hidden="1" x14ac:dyDescent="0.25">
      <c r="A144" s="18">
        <v>5461</v>
      </c>
      <c r="B144" s="19">
        <v>5461</v>
      </c>
      <c r="C144" s="19" t="s">
        <v>331</v>
      </c>
      <c r="D144" s="19">
        <v>0</v>
      </c>
      <c r="E144" s="19" t="s">
        <v>57</v>
      </c>
      <c r="F144" s="19" t="s">
        <v>58</v>
      </c>
      <c r="G144" s="20" t="str">
        <f>IF(LEN(Table12_52_03[[#This Row],[Ledger Code]])&gt;3,"AR"&amp;Table12_52_03[[#This Row],[Ledger Code]],"TBC")</f>
        <v>AR5461</v>
      </c>
      <c r="H144" s="20">
        <v>0</v>
      </c>
      <c r="I144" s="20">
        <v>0</v>
      </c>
      <c r="J144" s="20">
        <v>0</v>
      </c>
      <c r="K144" s="20">
        <v>-1883</v>
      </c>
      <c r="L144" s="20">
        <v>5140</v>
      </c>
      <c r="M144" s="20">
        <v>3752</v>
      </c>
      <c r="N144" s="20">
        <v>12232</v>
      </c>
      <c r="O144" s="20">
        <v>27468</v>
      </c>
      <c r="P144" s="41">
        <v>0</v>
      </c>
      <c r="Q144" s="41">
        <v>0</v>
      </c>
      <c r="R144" s="41">
        <v>0</v>
      </c>
      <c r="S144" s="41">
        <v>0</v>
      </c>
      <c r="T144" s="41">
        <v>282.75</v>
      </c>
      <c r="U144" s="41">
        <v>283.08999999999997</v>
      </c>
      <c r="V144" s="41">
        <v>-340.31</v>
      </c>
      <c r="W144" s="41">
        <v>709.62</v>
      </c>
    </row>
    <row r="145" spans="1:23" hidden="1" x14ac:dyDescent="0.25">
      <c r="A145" s="18">
        <v>5579</v>
      </c>
      <c r="B145" s="19">
        <v>8675</v>
      </c>
      <c r="C145" s="19" t="s">
        <v>276</v>
      </c>
      <c r="D145" s="19" t="s">
        <v>277</v>
      </c>
      <c r="E145" s="19" t="s">
        <v>26</v>
      </c>
      <c r="F145" s="19" t="s">
        <v>278</v>
      </c>
      <c r="G145" s="20" t="str">
        <f>IF(LEN(Table12_52_03[[#This Row],[Ledger Code]])&gt;3,"AR"&amp;Table12_52_03[[#This Row],[Ledger Code]],"TBC")</f>
        <v>AR8675</v>
      </c>
      <c r="H145" s="20">
        <v>386997</v>
      </c>
      <c r="I145" s="20">
        <v>205087</v>
      </c>
      <c r="J145" s="20">
        <v>382378</v>
      </c>
      <c r="K145" s="20">
        <v>511264</v>
      </c>
      <c r="L145" s="20">
        <v>339676</v>
      </c>
      <c r="M145" s="20">
        <v>249845</v>
      </c>
      <c r="N145" s="20">
        <v>515133</v>
      </c>
      <c r="O145" s="20">
        <v>483217</v>
      </c>
      <c r="P145" s="41">
        <v>0</v>
      </c>
      <c r="Q145" s="41">
        <v>0</v>
      </c>
      <c r="R145" s="41">
        <v>32169.47</v>
      </c>
      <c r="S145" s="41">
        <v>17939.480000000003</v>
      </c>
      <c r="T145" s="41">
        <v>15345.050000000001</v>
      </c>
      <c r="U145" s="41">
        <v>7716.6699999999992</v>
      </c>
      <c r="V145" s="41">
        <v>12941.07</v>
      </c>
      <c r="W145" s="41">
        <v>1721.8600000000069</v>
      </c>
    </row>
    <row r="146" spans="1:23" hidden="1" x14ac:dyDescent="0.25">
      <c r="A146" s="18">
        <v>5584</v>
      </c>
      <c r="B146" s="19">
        <v>9061</v>
      </c>
      <c r="C146" s="19" t="s">
        <v>279</v>
      </c>
      <c r="D146" s="19" t="s">
        <v>280</v>
      </c>
      <c r="E146" s="19" t="s">
        <v>26</v>
      </c>
      <c r="F146" s="19" t="s">
        <v>278</v>
      </c>
      <c r="G146" s="20" t="str">
        <f>IF(LEN(Table12_52_03[[#This Row],[Ledger Code]])&gt;3,"AR"&amp;Table12_52_03[[#This Row],[Ledger Code]],"TBC")</f>
        <v>AR9061</v>
      </c>
      <c r="H146" s="20">
        <v>18063</v>
      </c>
      <c r="I146" s="20">
        <v>774</v>
      </c>
      <c r="J146" s="20">
        <v>24047</v>
      </c>
      <c r="K146" s="20">
        <v>39725</v>
      </c>
      <c r="L146" s="20">
        <v>8333</v>
      </c>
      <c r="M146" s="20">
        <v>3190</v>
      </c>
      <c r="N146" s="20">
        <v>29583</v>
      </c>
      <c r="O146" s="20">
        <v>24986</v>
      </c>
      <c r="P146" s="41">
        <v>0</v>
      </c>
      <c r="Q146" s="41">
        <v>1019.85</v>
      </c>
      <c r="R146" s="41">
        <v>660.42999999999984</v>
      </c>
      <c r="S146" s="41">
        <v>1345.1999999999998</v>
      </c>
      <c r="T146" s="41">
        <v>1063.4100000000003</v>
      </c>
      <c r="U146" s="41">
        <v>253.13999999999993</v>
      </c>
      <c r="V146" s="41">
        <v>539.26</v>
      </c>
      <c r="W146" s="41">
        <v>970.23</v>
      </c>
    </row>
    <row r="147" spans="1:23" hidden="1" x14ac:dyDescent="0.25">
      <c r="A147" s="18">
        <v>5608</v>
      </c>
      <c r="B147" s="19">
        <v>9083</v>
      </c>
      <c r="C147" s="19" t="s">
        <v>281</v>
      </c>
      <c r="D147" s="19" t="s">
        <v>282</v>
      </c>
      <c r="E147" s="19" t="s">
        <v>26</v>
      </c>
      <c r="F147" s="19" t="s">
        <v>278</v>
      </c>
      <c r="G147" s="20" t="str">
        <f>IF(LEN(Table12_52_03[[#This Row],[Ledger Code]])&gt;3,"AR"&amp;Table12_52_03[[#This Row],[Ledger Code]],"TBC")</f>
        <v>AR9083</v>
      </c>
      <c r="H147" s="20">
        <v>41392</v>
      </c>
      <c r="I147" s="20">
        <v>2581</v>
      </c>
      <c r="J147" s="20">
        <v>21914</v>
      </c>
      <c r="K147" s="20">
        <v>43554</v>
      </c>
      <c r="L147" s="20">
        <v>32270</v>
      </c>
      <c r="M147" s="20">
        <v>34052</v>
      </c>
      <c r="N147" s="20">
        <v>44561</v>
      </c>
      <c r="O147" s="20">
        <v>34738</v>
      </c>
      <c r="P147" s="41">
        <v>0</v>
      </c>
      <c r="Q147" s="41">
        <v>1777.6100000000001</v>
      </c>
      <c r="R147" s="41">
        <v>468.13999999999947</v>
      </c>
      <c r="S147" s="41">
        <v>1781.81</v>
      </c>
      <c r="T147" s="41">
        <v>1358.5400000000004</v>
      </c>
      <c r="U147" s="41">
        <v>965.09999999999991</v>
      </c>
      <c r="V147" s="41">
        <v>1425.3899999999999</v>
      </c>
      <c r="W147" s="41">
        <v>1173.74</v>
      </c>
    </row>
    <row r="148" spans="1:23" hidden="1" x14ac:dyDescent="0.25">
      <c r="A148" s="18">
        <v>5611</v>
      </c>
      <c r="B148" s="19">
        <v>9086</v>
      </c>
      <c r="C148" s="19" t="s">
        <v>283</v>
      </c>
      <c r="D148" s="19" t="s">
        <v>284</v>
      </c>
      <c r="E148" s="19" t="s">
        <v>26</v>
      </c>
      <c r="F148" s="19" t="s">
        <v>278</v>
      </c>
      <c r="G148" s="20" t="str">
        <f>IF(LEN(Table12_52_03[[#This Row],[Ledger Code]])&gt;3,"AR"&amp;Table12_52_03[[#This Row],[Ledger Code]],"TBC")</f>
        <v>AR9086</v>
      </c>
      <c r="H148" s="20">
        <v>44631</v>
      </c>
      <c r="I148" s="20">
        <v>13154</v>
      </c>
      <c r="J148" s="20">
        <v>74333</v>
      </c>
      <c r="K148" s="20">
        <v>84890</v>
      </c>
      <c r="L148" s="20">
        <v>33783</v>
      </c>
      <c r="M148" s="20">
        <v>14748</v>
      </c>
      <c r="N148" s="20">
        <v>68409</v>
      </c>
      <c r="O148" s="20">
        <v>68147</v>
      </c>
      <c r="P148" s="41">
        <v>0</v>
      </c>
      <c r="Q148" s="41">
        <v>2230.94</v>
      </c>
      <c r="R148" s="41">
        <v>1886.25</v>
      </c>
      <c r="S148" s="41">
        <v>3479.78</v>
      </c>
      <c r="T148" s="41">
        <v>2003.52</v>
      </c>
      <c r="U148" s="41">
        <v>601.88000000000011</v>
      </c>
      <c r="V148" s="41">
        <v>1747.1</v>
      </c>
      <c r="W148" s="41">
        <v>2237.89</v>
      </c>
    </row>
    <row r="149" spans="1:23" hidden="1" x14ac:dyDescent="0.25">
      <c r="A149" s="18">
        <v>5659</v>
      </c>
      <c r="B149" s="19">
        <v>9000</v>
      </c>
      <c r="C149" s="19" t="s">
        <v>285</v>
      </c>
      <c r="D149" s="19" t="s">
        <v>286</v>
      </c>
      <c r="E149" s="19" t="s">
        <v>26</v>
      </c>
      <c r="F149" s="19" t="s">
        <v>278</v>
      </c>
      <c r="G149" s="20" t="str">
        <f>IF(LEN(Table12_52_03[[#This Row],[Ledger Code]])&gt;3,"AR"&amp;Table12_52_03[[#This Row],[Ledger Code]],"TBC")</f>
        <v>AR9000</v>
      </c>
      <c r="H149" s="20">
        <v>63443</v>
      </c>
      <c r="I149" s="20">
        <v>13854</v>
      </c>
      <c r="J149" s="20">
        <v>81280</v>
      </c>
      <c r="K149" s="20">
        <v>55492</v>
      </c>
      <c r="L149" s="20">
        <v>69935</v>
      </c>
      <c r="M149" s="20">
        <v>21033</v>
      </c>
      <c r="N149" s="20">
        <v>69225</v>
      </c>
      <c r="O149" s="20">
        <v>69051</v>
      </c>
      <c r="P149" s="41">
        <v>0</v>
      </c>
      <c r="Q149" s="41">
        <v>3196.52</v>
      </c>
      <c r="R149" s="41">
        <v>2260.02</v>
      </c>
      <c r="S149" s="41">
        <v>2959.9699999999993</v>
      </c>
      <c r="T149" s="41">
        <v>2182.8599999999997</v>
      </c>
      <c r="U149" s="41">
        <v>1231.93</v>
      </c>
      <c r="V149" s="41">
        <v>1769.7000000000003</v>
      </c>
      <c r="W149" s="41">
        <v>2101.1799999999998</v>
      </c>
    </row>
    <row r="150" spans="1:23" hidden="1" x14ac:dyDescent="0.25">
      <c r="A150" s="18">
        <v>5669</v>
      </c>
      <c r="B150" s="19">
        <v>4456</v>
      </c>
      <c r="C150" s="19" t="s">
        <v>287</v>
      </c>
      <c r="D150" s="19" t="s">
        <v>288</v>
      </c>
      <c r="E150" s="19" t="s">
        <v>57</v>
      </c>
      <c r="F150" s="19" t="s">
        <v>233</v>
      </c>
      <c r="G150" s="20" t="str">
        <f>IF(LEN(Table12_52_03[[#This Row],[Ledger Code]])&gt;3,"AR"&amp;Table12_52_03[[#This Row],[Ledger Code]],"TBC")</f>
        <v>AR4456</v>
      </c>
      <c r="H150" s="20">
        <v>97970</v>
      </c>
      <c r="I150" s="20">
        <v>30478</v>
      </c>
      <c r="J150" s="20">
        <v>188431</v>
      </c>
      <c r="K150" s="20">
        <v>206630</v>
      </c>
      <c r="L150" s="20">
        <v>76833</v>
      </c>
      <c r="M150" s="20">
        <v>49290</v>
      </c>
      <c r="N150" s="20">
        <v>167096</v>
      </c>
      <c r="O150" s="20">
        <v>156054</v>
      </c>
      <c r="P150" s="41">
        <v>0</v>
      </c>
      <c r="Q150" s="41">
        <v>0</v>
      </c>
      <c r="R150" s="41">
        <v>0</v>
      </c>
      <c r="S150" s="41">
        <v>18578.070000000003</v>
      </c>
      <c r="T150" s="41">
        <v>4889.3399999999992</v>
      </c>
      <c r="U150" s="41">
        <v>2918.07</v>
      </c>
      <c r="V150" s="41">
        <v>4702.43</v>
      </c>
      <c r="W150" s="41">
        <v>5551.76</v>
      </c>
    </row>
    <row r="151" spans="1:23" hidden="1" x14ac:dyDescent="0.25">
      <c r="A151" s="18">
        <v>5670</v>
      </c>
      <c r="B151" s="19">
        <v>4456</v>
      </c>
      <c r="C151" s="19" t="s">
        <v>289</v>
      </c>
      <c r="D151" s="19" t="s">
        <v>288</v>
      </c>
      <c r="E151" s="19" t="s">
        <v>57</v>
      </c>
      <c r="F151" s="19" t="s">
        <v>233</v>
      </c>
      <c r="G151" s="20" t="str">
        <f>IF(LEN(Table12_52_03[[#This Row],[Ledger Code]])&gt;3,"AR"&amp;Table12_52_03[[#This Row],[Ledger Code]],"TBC")</f>
        <v>AR4456</v>
      </c>
      <c r="H151" s="20">
        <v>97970</v>
      </c>
      <c r="I151" s="20">
        <v>30478</v>
      </c>
      <c r="J151" s="20">
        <v>188431</v>
      </c>
      <c r="K151" s="20">
        <v>206630</v>
      </c>
      <c r="L151" s="20">
        <v>76833</v>
      </c>
      <c r="M151" s="20">
        <v>49290</v>
      </c>
      <c r="N151" s="20">
        <v>167096</v>
      </c>
      <c r="O151" s="20">
        <v>156054</v>
      </c>
      <c r="P151" s="41">
        <v>0</v>
      </c>
      <c r="Q151" s="41">
        <v>0</v>
      </c>
      <c r="R151" s="41">
        <v>0</v>
      </c>
      <c r="S151" s="41">
        <v>18578.070000000003</v>
      </c>
      <c r="T151" s="41">
        <v>4889.3399999999992</v>
      </c>
      <c r="U151" s="41">
        <v>2918.07</v>
      </c>
      <c r="V151" s="41">
        <v>4702.43</v>
      </c>
      <c r="W151" s="41">
        <v>5551.76</v>
      </c>
    </row>
    <row r="152" spans="1:23" hidden="1" x14ac:dyDescent="0.25">
      <c r="A152" s="18">
        <v>5671</v>
      </c>
      <c r="B152" s="19">
        <v>4456</v>
      </c>
      <c r="C152" s="19" t="s">
        <v>290</v>
      </c>
      <c r="D152" s="19" t="s">
        <v>288</v>
      </c>
      <c r="E152" s="19" t="s">
        <v>57</v>
      </c>
      <c r="F152" s="19" t="s">
        <v>233</v>
      </c>
      <c r="G152" s="20" t="str">
        <f>IF(LEN(Table12_52_03[[#This Row],[Ledger Code]])&gt;3,"AR"&amp;Table12_52_03[[#This Row],[Ledger Code]],"TBC")</f>
        <v>AR4456</v>
      </c>
      <c r="H152" s="20">
        <v>97970</v>
      </c>
      <c r="I152" s="20">
        <v>30478</v>
      </c>
      <c r="J152" s="20">
        <v>188431</v>
      </c>
      <c r="K152" s="20">
        <v>206630</v>
      </c>
      <c r="L152" s="20">
        <v>76833</v>
      </c>
      <c r="M152" s="20">
        <v>49290</v>
      </c>
      <c r="N152" s="20">
        <v>167096</v>
      </c>
      <c r="O152" s="20">
        <v>156054</v>
      </c>
      <c r="P152" s="41">
        <v>0</v>
      </c>
      <c r="Q152" s="41">
        <v>0</v>
      </c>
      <c r="R152" s="41">
        <v>0</v>
      </c>
      <c r="S152" s="41">
        <v>18578.070000000003</v>
      </c>
      <c r="T152" s="41">
        <v>4889.3399999999992</v>
      </c>
      <c r="U152" s="41">
        <v>2918.07</v>
      </c>
      <c r="V152" s="41">
        <v>4702.43</v>
      </c>
      <c r="W152" s="41">
        <v>5551.76</v>
      </c>
    </row>
    <row r="153" spans="1:23" hidden="1" x14ac:dyDescent="0.25">
      <c r="A153" s="18">
        <v>5672</v>
      </c>
      <c r="B153" s="19">
        <v>4456</v>
      </c>
      <c r="C153" s="19" t="s">
        <v>291</v>
      </c>
      <c r="D153" s="19" t="s">
        <v>288</v>
      </c>
      <c r="E153" s="19" t="s">
        <v>57</v>
      </c>
      <c r="F153" s="19" t="s">
        <v>233</v>
      </c>
      <c r="G153" s="20" t="str">
        <f>IF(LEN(Table12_52_03[[#This Row],[Ledger Code]])&gt;3,"AR"&amp;Table12_52_03[[#This Row],[Ledger Code]],"TBC")</f>
        <v>AR4456</v>
      </c>
      <c r="H153" s="20">
        <v>97970</v>
      </c>
      <c r="I153" s="20">
        <v>30478</v>
      </c>
      <c r="J153" s="20">
        <v>188431</v>
      </c>
      <c r="K153" s="20">
        <v>206630</v>
      </c>
      <c r="L153" s="20">
        <v>76833</v>
      </c>
      <c r="M153" s="20">
        <v>49290</v>
      </c>
      <c r="N153" s="20">
        <v>167096</v>
      </c>
      <c r="O153" s="20">
        <v>156054</v>
      </c>
      <c r="P153" s="41">
        <v>0</v>
      </c>
      <c r="Q153" s="41">
        <v>0</v>
      </c>
      <c r="R153" s="41">
        <v>0</v>
      </c>
      <c r="S153" s="41">
        <v>18578.070000000003</v>
      </c>
      <c r="T153" s="41">
        <v>4889.3399999999992</v>
      </c>
      <c r="U153" s="41">
        <v>2918.07</v>
      </c>
      <c r="V153" s="41">
        <v>4702.43</v>
      </c>
      <c r="W153" s="41">
        <v>5551.76</v>
      </c>
    </row>
    <row r="154" spans="1:23" hidden="1" x14ac:dyDescent="0.25">
      <c r="A154" s="18">
        <v>5696</v>
      </c>
      <c r="B154" s="19">
        <v>4508</v>
      </c>
      <c r="C154" s="19" t="s">
        <v>292</v>
      </c>
      <c r="D154" s="19" t="s">
        <v>293</v>
      </c>
      <c r="E154" s="19" t="s">
        <v>57</v>
      </c>
      <c r="F154" s="19" t="s">
        <v>233</v>
      </c>
      <c r="G154" s="20" t="str">
        <f>IF(LEN(Table12_52_03[[#This Row],[Ledger Code]])&gt;3,"AR"&amp;Table12_52_03[[#This Row],[Ledger Code]],"TBC")</f>
        <v>AR4508</v>
      </c>
      <c r="H154" s="20">
        <v>0</v>
      </c>
      <c r="I154" s="20">
        <v>0</v>
      </c>
      <c r="J154" s="20">
        <v>0</v>
      </c>
      <c r="K154" s="20">
        <v>0</v>
      </c>
      <c r="L154" s="20">
        <v>0</v>
      </c>
      <c r="M154" s="20">
        <v>0</v>
      </c>
      <c r="N154" s="20">
        <v>0</v>
      </c>
      <c r="O154" s="20">
        <v>0</v>
      </c>
      <c r="P154" s="41">
        <v>1206.57</v>
      </c>
      <c r="Q154" s="41">
        <v>1721.48</v>
      </c>
      <c r="R154" s="41">
        <v>-2113.7400000000002</v>
      </c>
      <c r="S154" s="41">
        <v>2428.8900000000003</v>
      </c>
      <c r="T154" s="41">
        <v>-967.8700000000008</v>
      </c>
      <c r="U154" s="41">
        <v>-563.54</v>
      </c>
      <c r="V154" s="41">
        <v>-1711.79</v>
      </c>
      <c r="W154" s="41">
        <v>0</v>
      </c>
    </row>
    <row r="155" spans="1:23" hidden="1" x14ac:dyDescent="0.25">
      <c r="A155" s="18">
        <v>5699</v>
      </c>
      <c r="B155" s="19">
        <v>4571</v>
      </c>
      <c r="C155" s="19" t="s">
        <v>294</v>
      </c>
      <c r="D155" s="19" t="s">
        <v>295</v>
      </c>
      <c r="E155" s="19" t="s">
        <v>57</v>
      </c>
      <c r="F155" s="19" t="s">
        <v>233</v>
      </c>
      <c r="G155" s="20" t="str">
        <f>IF(LEN(Table12_52_03[[#This Row],[Ledger Code]])&gt;3,"AR"&amp;Table12_52_03[[#This Row],[Ledger Code]],"TBC")</f>
        <v>AR4571</v>
      </c>
      <c r="H155" s="20">
        <v>0</v>
      </c>
      <c r="I155" s="20">
        <v>0</v>
      </c>
      <c r="J155" s="20">
        <v>0</v>
      </c>
      <c r="K155" s="20">
        <v>0</v>
      </c>
      <c r="L155" s="20">
        <v>0</v>
      </c>
      <c r="M155" s="20">
        <v>0</v>
      </c>
      <c r="N155" s="20">
        <v>0</v>
      </c>
      <c r="O155" s="20">
        <v>0</v>
      </c>
      <c r="P155" s="41">
        <v>0</v>
      </c>
      <c r="Q155" s="41">
        <v>0</v>
      </c>
      <c r="R155" s="41">
        <v>0</v>
      </c>
      <c r="S155" s="41">
        <v>0</v>
      </c>
      <c r="T155" s="41">
        <v>0</v>
      </c>
      <c r="U155" s="41">
        <v>0</v>
      </c>
      <c r="V155" s="41">
        <v>0</v>
      </c>
      <c r="W155" s="41">
        <v>0</v>
      </c>
    </row>
    <row r="156" spans="1:23" hidden="1" x14ac:dyDescent="0.25">
      <c r="A156" s="18">
        <v>5761</v>
      </c>
      <c r="B156" s="19">
        <v>4468</v>
      </c>
      <c r="C156" s="19" t="s">
        <v>296</v>
      </c>
      <c r="D156" s="19" t="s">
        <v>297</v>
      </c>
      <c r="E156" s="19" t="s">
        <v>57</v>
      </c>
      <c r="F156" s="19" t="s">
        <v>233</v>
      </c>
      <c r="G156" s="20" t="str">
        <f>IF(LEN(Table12_52_03[[#This Row],[Ledger Code]])&gt;3,"AR"&amp;Table12_52_03[[#This Row],[Ledger Code]],"TBC")</f>
        <v>AR4468</v>
      </c>
      <c r="H156" s="20">
        <v>17172</v>
      </c>
      <c r="I156" s="20">
        <v>8136</v>
      </c>
      <c r="J156" s="20">
        <v>26053</v>
      </c>
      <c r="K156" s="20">
        <v>41425</v>
      </c>
      <c r="L156" s="20">
        <v>26505</v>
      </c>
      <c r="M156" s="20">
        <v>10125</v>
      </c>
      <c r="N156" s="20">
        <v>21918</v>
      </c>
      <c r="O156" s="20">
        <v>42365</v>
      </c>
      <c r="P156" s="41">
        <v>0</v>
      </c>
      <c r="Q156" s="41">
        <v>0</v>
      </c>
      <c r="R156" s="41">
        <v>0</v>
      </c>
      <c r="S156" s="41">
        <v>3700.7799999999997</v>
      </c>
      <c r="T156" s="41">
        <v>1046.9000000000003</v>
      </c>
      <c r="U156" s="41">
        <v>374.96999999999991</v>
      </c>
      <c r="V156" s="41">
        <v>874.82</v>
      </c>
      <c r="W156" s="41">
        <v>965.94</v>
      </c>
    </row>
    <row r="157" spans="1:23" hidden="1" x14ac:dyDescent="0.25">
      <c r="A157" s="18">
        <v>5806</v>
      </c>
      <c r="B157" s="19">
        <v>4508</v>
      </c>
      <c r="C157" s="19" t="s">
        <v>298</v>
      </c>
      <c r="D157" s="19" t="s">
        <v>293</v>
      </c>
      <c r="E157" s="19" t="s">
        <v>57</v>
      </c>
      <c r="F157" s="19" t="s">
        <v>233</v>
      </c>
      <c r="G157" s="20" t="str">
        <f>IF(LEN(Table12_52_03[[#This Row],[Ledger Code]])&gt;3,"AR"&amp;Table12_52_03[[#This Row],[Ledger Code]],"TBC")</f>
        <v>AR4508</v>
      </c>
      <c r="H157" s="20">
        <v>0</v>
      </c>
      <c r="I157" s="20">
        <v>0</v>
      </c>
      <c r="J157" s="20">
        <v>0</v>
      </c>
      <c r="K157" s="20">
        <v>0</v>
      </c>
      <c r="L157" s="20">
        <v>0</v>
      </c>
      <c r="M157" s="20">
        <v>0</v>
      </c>
      <c r="N157" s="20">
        <v>0</v>
      </c>
      <c r="O157" s="20">
        <v>0</v>
      </c>
      <c r="P157" s="41">
        <v>1206.57</v>
      </c>
      <c r="Q157" s="41">
        <v>1721.48</v>
      </c>
      <c r="R157" s="41">
        <v>-2113.7400000000002</v>
      </c>
      <c r="S157" s="41">
        <v>2428.8900000000003</v>
      </c>
      <c r="T157" s="41">
        <v>-967.8700000000008</v>
      </c>
      <c r="U157" s="41">
        <v>-563.54</v>
      </c>
      <c r="V157" s="41">
        <v>-1711.79</v>
      </c>
      <c r="W157" s="41">
        <v>0</v>
      </c>
    </row>
    <row r="158" spans="1:23" hidden="1" x14ac:dyDescent="0.25">
      <c r="A158" s="18">
        <v>5851</v>
      </c>
      <c r="B158" s="19">
        <v>4544</v>
      </c>
      <c r="C158" s="19" t="s">
        <v>318</v>
      </c>
      <c r="D158" s="19" t="s">
        <v>319</v>
      </c>
      <c r="E158" s="19" t="s">
        <v>57</v>
      </c>
      <c r="F158" s="19" t="s">
        <v>233</v>
      </c>
      <c r="G158" s="20" t="str">
        <f>IF(LEN(Table12_52_03[[#This Row],[Ledger Code]])&gt;3,"AR"&amp;Table12_52_03[[#This Row],[Ledger Code]],"TBC")</f>
        <v>AR4544</v>
      </c>
      <c r="H158" s="20">
        <v>0</v>
      </c>
      <c r="I158" s="20">
        <v>0</v>
      </c>
      <c r="J158" s="20">
        <v>0</v>
      </c>
      <c r="K158" s="20">
        <v>0</v>
      </c>
      <c r="L158" s="20">
        <v>0</v>
      </c>
      <c r="M158" s="20">
        <v>0</v>
      </c>
      <c r="N158" s="20">
        <v>32938</v>
      </c>
      <c r="O158" s="20">
        <v>26253</v>
      </c>
      <c r="P158" s="41">
        <v>0</v>
      </c>
      <c r="Q158" s="41">
        <v>0</v>
      </c>
      <c r="R158" s="41">
        <v>0</v>
      </c>
      <c r="S158" s="41">
        <v>0</v>
      </c>
      <c r="T158" s="41">
        <v>0</v>
      </c>
      <c r="U158" s="41">
        <v>18340.46</v>
      </c>
      <c r="V158" s="41">
        <v>1331.1999999999998</v>
      </c>
      <c r="W158" s="41">
        <v>15957.49</v>
      </c>
    </row>
    <row r="159" spans="1:23" hidden="1" x14ac:dyDescent="0.25">
      <c r="A159" s="18">
        <v>5882</v>
      </c>
      <c r="B159" s="19">
        <v>9495</v>
      </c>
      <c r="C159" s="19" t="s">
        <v>299</v>
      </c>
      <c r="D159" s="19" t="s">
        <v>300</v>
      </c>
      <c r="E159" s="19" t="s">
        <v>26</v>
      </c>
      <c r="F159" s="19" t="s">
        <v>48</v>
      </c>
      <c r="G159" s="20" t="str">
        <f>IF(LEN(Table12_52_03[[#This Row],[Ledger Code]])&gt;3,"AR"&amp;Table12_52_03[[#This Row],[Ledger Code]],"TBC")</f>
        <v>AR9495</v>
      </c>
      <c r="H159" s="20">
        <v>0</v>
      </c>
      <c r="I159" s="20">
        <v>0</v>
      </c>
      <c r="J159" s="20">
        <v>0</v>
      </c>
      <c r="K159" s="20">
        <v>0</v>
      </c>
      <c r="L159" s="20">
        <v>0</v>
      </c>
      <c r="M159" s="20">
        <v>0</v>
      </c>
      <c r="N159" s="20">
        <v>0</v>
      </c>
      <c r="O159" s="20">
        <v>0</v>
      </c>
      <c r="P159" s="41">
        <v>0</v>
      </c>
      <c r="Q159" s="41">
        <v>0</v>
      </c>
      <c r="R159" s="41">
        <v>0</v>
      </c>
      <c r="S159" s="41">
        <v>0</v>
      </c>
      <c r="T159" s="41">
        <v>0</v>
      </c>
      <c r="U159" s="41">
        <v>0</v>
      </c>
      <c r="V159" s="41">
        <v>0</v>
      </c>
      <c r="W159" s="41">
        <v>0</v>
      </c>
    </row>
    <row r="160" spans="1:23" hidden="1" x14ac:dyDescent="0.25">
      <c r="A160" s="18">
        <v>5895</v>
      </c>
      <c r="B160" s="19">
        <v>9460</v>
      </c>
      <c r="C160" s="19" t="s">
        <v>301</v>
      </c>
      <c r="D160" s="19" t="s">
        <v>302</v>
      </c>
      <c r="E160" s="19" t="s">
        <v>9</v>
      </c>
      <c r="F160" s="19" t="s">
        <v>98</v>
      </c>
      <c r="G160" s="20" t="str">
        <f>IF(LEN(Table12_52_03[[#This Row],[Ledger Code]])&gt;3,"AR"&amp;Table12_52_03[[#This Row],[Ledger Code]],"TBC")</f>
        <v>AR9460</v>
      </c>
      <c r="H160" s="20">
        <v>0</v>
      </c>
      <c r="I160" s="20">
        <v>0</v>
      </c>
      <c r="J160" s="20">
        <v>0</v>
      </c>
      <c r="K160" s="20">
        <v>0</v>
      </c>
      <c r="L160" s="20">
        <v>63313</v>
      </c>
      <c r="M160" s="20">
        <v>158254</v>
      </c>
      <c r="N160" s="20">
        <v>74000</v>
      </c>
      <c r="O160" s="20">
        <v>311324</v>
      </c>
      <c r="P160" s="41">
        <v>0</v>
      </c>
      <c r="Q160" s="41">
        <v>18426.080000000002</v>
      </c>
      <c r="R160" s="41">
        <v>3.637978807091713E-12</v>
      </c>
      <c r="S160" s="41">
        <v>19028.039999999997</v>
      </c>
      <c r="T160" s="41">
        <v>2531.9000000000074</v>
      </c>
      <c r="U160" s="41">
        <v>7414.2300000000205</v>
      </c>
      <c r="V160" s="41">
        <v>3967.3699999999926</v>
      </c>
      <c r="W160" s="41">
        <v>5313.7299999999959</v>
      </c>
    </row>
    <row r="161" spans="1:23" hidden="1" x14ac:dyDescent="0.25">
      <c r="A161" s="18">
        <v>5896</v>
      </c>
      <c r="B161" s="19">
        <v>9460</v>
      </c>
      <c r="C161" s="19" t="s">
        <v>303</v>
      </c>
      <c r="D161" s="19" t="s">
        <v>302</v>
      </c>
      <c r="E161" s="19" t="s">
        <v>9</v>
      </c>
      <c r="F161" s="19" t="s">
        <v>98</v>
      </c>
      <c r="G161" s="20" t="str">
        <f>IF(LEN(Table12_52_03[[#This Row],[Ledger Code]])&gt;3,"AR"&amp;Table12_52_03[[#This Row],[Ledger Code]],"TBC")</f>
        <v>AR9460</v>
      </c>
      <c r="H161" s="20">
        <v>0</v>
      </c>
      <c r="I161" s="20">
        <v>0</v>
      </c>
      <c r="J161" s="20">
        <v>0</v>
      </c>
      <c r="K161" s="20">
        <v>0</v>
      </c>
      <c r="L161" s="20">
        <v>63313</v>
      </c>
      <c r="M161" s="20">
        <v>158254</v>
      </c>
      <c r="N161" s="20">
        <v>74000</v>
      </c>
      <c r="O161" s="20">
        <v>311324</v>
      </c>
      <c r="P161" s="41">
        <v>0</v>
      </c>
      <c r="Q161" s="41">
        <v>18426.080000000002</v>
      </c>
      <c r="R161" s="41">
        <v>3.637978807091713E-12</v>
      </c>
      <c r="S161" s="41">
        <v>19028.039999999997</v>
      </c>
      <c r="T161" s="41">
        <v>2531.9000000000074</v>
      </c>
      <c r="U161" s="41">
        <v>7414.2300000000205</v>
      </c>
      <c r="V161" s="41">
        <v>3967.3699999999926</v>
      </c>
      <c r="W161" s="41">
        <v>5313.7299999999959</v>
      </c>
    </row>
    <row r="162" spans="1:23" hidden="1" x14ac:dyDescent="0.25">
      <c r="A162" s="18">
        <v>5902</v>
      </c>
      <c r="B162" s="19">
        <v>7516</v>
      </c>
      <c r="C162" s="19" t="s">
        <v>304</v>
      </c>
      <c r="D162" s="19" t="s">
        <v>305</v>
      </c>
      <c r="E162" s="19" t="s">
        <v>220</v>
      </c>
      <c r="F162" s="19" t="s">
        <v>228</v>
      </c>
      <c r="G162" s="20" t="str">
        <f>IF(LEN(Table12_52_03[[#This Row],[Ledger Code]])&gt;3,"AR"&amp;Table12_52_03[[#This Row],[Ledger Code]],"TBC")</f>
        <v>AR7516</v>
      </c>
      <c r="H162" s="20">
        <v>0</v>
      </c>
      <c r="I162" s="20">
        <v>0</v>
      </c>
      <c r="J162" s="20">
        <v>0</v>
      </c>
      <c r="K162" s="20">
        <v>0</v>
      </c>
      <c r="L162" s="20">
        <v>0</v>
      </c>
      <c r="M162" s="20">
        <v>0</v>
      </c>
      <c r="N162" s="20">
        <v>0</v>
      </c>
      <c r="O162" s="20">
        <v>0</v>
      </c>
      <c r="P162" s="41">
        <v>0</v>
      </c>
      <c r="Q162" s="41">
        <v>0</v>
      </c>
      <c r="R162" s="41">
        <v>0</v>
      </c>
      <c r="S162" s="41">
        <v>0</v>
      </c>
      <c r="T162" s="41">
        <v>0</v>
      </c>
      <c r="U162" s="41">
        <v>0</v>
      </c>
      <c r="V162" s="41">
        <v>0</v>
      </c>
      <c r="W162" s="41">
        <v>0</v>
      </c>
    </row>
    <row r="163" spans="1:23" hidden="1" x14ac:dyDescent="0.25">
      <c r="A163" s="18">
        <v>5906</v>
      </c>
      <c r="B163" s="19">
        <v>3028</v>
      </c>
      <c r="C163" s="19" t="s">
        <v>306</v>
      </c>
      <c r="D163" s="19" t="s">
        <v>307</v>
      </c>
      <c r="E163" s="19" t="s">
        <v>57</v>
      </c>
      <c r="F163" s="19" t="s">
        <v>70</v>
      </c>
      <c r="G163" s="20" t="str">
        <f>IF(LEN(Table12_52_03[[#This Row],[Ledger Code]])&gt;3,"AR"&amp;Table12_52_03[[#This Row],[Ledger Code]],"TBC")</f>
        <v>AR3028</v>
      </c>
      <c r="H163" s="20">
        <v>0</v>
      </c>
      <c r="I163" s="20">
        <v>0</v>
      </c>
      <c r="J163" s="20">
        <v>0</v>
      </c>
      <c r="K163" s="20">
        <v>0</v>
      </c>
      <c r="L163" s="20">
        <v>0</v>
      </c>
      <c r="M163" s="20">
        <v>0</v>
      </c>
      <c r="N163" s="20">
        <v>0</v>
      </c>
      <c r="O163" s="20">
        <v>0</v>
      </c>
      <c r="P163" s="41">
        <v>0</v>
      </c>
      <c r="Q163" s="41">
        <v>0</v>
      </c>
      <c r="R163" s="41">
        <v>0</v>
      </c>
      <c r="S163" s="41">
        <v>0</v>
      </c>
      <c r="T163" s="41">
        <v>0</v>
      </c>
      <c r="U163" s="41">
        <v>0</v>
      </c>
      <c r="V163" s="41">
        <v>0</v>
      </c>
      <c r="W163" s="41">
        <v>0</v>
      </c>
    </row>
    <row r="164" spans="1:23" hidden="1" x14ac:dyDescent="0.25">
      <c r="A164" s="21">
        <v>5909</v>
      </c>
      <c r="B164" s="19">
        <v>9473</v>
      </c>
      <c r="C164" s="19" t="s">
        <v>308</v>
      </c>
      <c r="D164" s="19" t="s">
        <v>309</v>
      </c>
      <c r="E164" s="19" t="s">
        <v>57</v>
      </c>
      <c r="F164" s="19" t="s">
        <v>70</v>
      </c>
      <c r="G164" s="20" t="str">
        <f>IF(LEN(Table12_52_03[[#This Row],[Ledger Code]])&gt;3,"AR"&amp;Table12_52_03[[#This Row],[Ledger Code]],"TBC")</f>
        <v>AR9473</v>
      </c>
      <c r="H164" s="20">
        <v>0</v>
      </c>
      <c r="I164" s="20">
        <v>0</v>
      </c>
      <c r="J164" s="20">
        <v>0</v>
      </c>
      <c r="K164" s="20">
        <v>0</v>
      </c>
      <c r="L164" s="20">
        <v>0</v>
      </c>
      <c r="M164" s="20">
        <v>0</v>
      </c>
      <c r="N164" s="20">
        <v>0</v>
      </c>
      <c r="O164" s="20">
        <v>0</v>
      </c>
      <c r="P164" s="41">
        <v>0</v>
      </c>
      <c r="Q164" s="41">
        <v>0</v>
      </c>
      <c r="R164" s="41">
        <v>0</v>
      </c>
      <c r="S164" s="41">
        <v>0</v>
      </c>
      <c r="T164" s="41">
        <v>0</v>
      </c>
      <c r="U164" s="41">
        <v>0</v>
      </c>
      <c r="V164" s="41">
        <v>0</v>
      </c>
      <c r="W164" s="41">
        <v>0</v>
      </c>
    </row>
    <row r="165" spans="1:23" hidden="1" x14ac:dyDescent="0.25">
      <c r="A165" s="18">
        <v>5910</v>
      </c>
      <c r="B165" s="19">
        <v>9472</v>
      </c>
      <c r="C165" s="19" t="s">
        <v>310</v>
      </c>
      <c r="D165" s="19" t="s">
        <v>309</v>
      </c>
      <c r="E165" s="19" t="s">
        <v>57</v>
      </c>
      <c r="F165" s="19" t="s">
        <v>70</v>
      </c>
      <c r="G165" s="20" t="str">
        <f>IF(LEN(Table12_52_03[[#This Row],[Ledger Code]])&gt;3,"AR"&amp;Table12_52_03[[#This Row],[Ledger Code]],"TBC")</f>
        <v>AR9472</v>
      </c>
      <c r="H165" s="20">
        <v>0</v>
      </c>
      <c r="I165" s="20">
        <v>0</v>
      </c>
      <c r="J165" s="20">
        <v>0</v>
      </c>
      <c r="K165" s="20">
        <v>0</v>
      </c>
      <c r="L165" s="20">
        <v>0</v>
      </c>
      <c r="M165" s="20">
        <v>0</v>
      </c>
      <c r="N165" s="20">
        <v>0</v>
      </c>
      <c r="O165" s="20">
        <v>0</v>
      </c>
      <c r="P165" s="41">
        <v>0</v>
      </c>
      <c r="Q165" s="41">
        <v>0</v>
      </c>
      <c r="R165" s="41">
        <v>0</v>
      </c>
      <c r="S165" s="41">
        <v>0</v>
      </c>
      <c r="T165" s="41">
        <v>0</v>
      </c>
      <c r="U165" s="41">
        <v>0</v>
      </c>
      <c r="V165" s="41">
        <v>0</v>
      </c>
      <c r="W165" s="41">
        <v>0</v>
      </c>
    </row>
    <row r="166" spans="1:23" hidden="1" x14ac:dyDescent="0.25">
      <c r="A166" s="18">
        <v>5912</v>
      </c>
      <c r="B166" s="19">
        <v>9474</v>
      </c>
      <c r="C166" s="19" t="s">
        <v>311</v>
      </c>
      <c r="D166" s="19" t="s">
        <v>309</v>
      </c>
      <c r="E166" s="19" t="s">
        <v>57</v>
      </c>
      <c r="F166" s="19" t="s">
        <v>70</v>
      </c>
      <c r="G166" s="20" t="str">
        <f>IF(LEN(Table12_52_03[[#This Row],[Ledger Code]])&gt;3,"AR"&amp;Table12_52_03[[#This Row],[Ledger Code]],"TBC")</f>
        <v>AR9474</v>
      </c>
      <c r="H166" s="20">
        <v>0</v>
      </c>
      <c r="I166" s="20">
        <v>0</v>
      </c>
      <c r="J166" s="20">
        <v>0</v>
      </c>
      <c r="K166" s="20">
        <v>0</v>
      </c>
      <c r="L166" s="20">
        <v>0</v>
      </c>
      <c r="M166" s="20">
        <v>0</v>
      </c>
      <c r="N166" s="20">
        <v>0</v>
      </c>
      <c r="O166" s="20">
        <v>0</v>
      </c>
      <c r="P166" s="41">
        <v>0</v>
      </c>
      <c r="Q166" s="41">
        <v>0</v>
      </c>
      <c r="R166" s="41">
        <v>0</v>
      </c>
      <c r="S166" s="41">
        <v>0</v>
      </c>
      <c r="T166" s="41">
        <v>0</v>
      </c>
      <c r="U166" s="41">
        <v>0</v>
      </c>
      <c r="V166" s="41">
        <v>0</v>
      </c>
      <c r="W166" s="41">
        <v>0</v>
      </c>
    </row>
    <row r="167" spans="1:23" hidden="1" x14ac:dyDescent="0.25">
      <c r="A167" s="18">
        <v>5917</v>
      </c>
      <c r="B167" s="19">
        <v>9481</v>
      </c>
      <c r="C167" s="19" t="s">
        <v>184</v>
      </c>
      <c r="D167" s="19" t="s">
        <v>185</v>
      </c>
      <c r="E167" s="19" t="s">
        <v>57</v>
      </c>
      <c r="F167" s="19" t="s">
        <v>186</v>
      </c>
      <c r="G167" s="20" t="str">
        <f>IF(LEN(Table12_52_03[[#This Row],[Ledger Code]])&gt;3,"AR"&amp;Table12_52_03[[#This Row],[Ledger Code]],"TBC")</f>
        <v>AR9481</v>
      </c>
      <c r="H167" s="20">
        <v>262041</v>
      </c>
      <c r="I167" s="20">
        <v>18940</v>
      </c>
      <c r="J167" s="20">
        <v>213769</v>
      </c>
      <c r="K167" s="20">
        <v>424860</v>
      </c>
      <c r="L167" s="20">
        <v>99250</v>
      </c>
      <c r="M167" s="20">
        <v>33</v>
      </c>
      <c r="N167" s="20">
        <v>313521</v>
      </c>
      <c r="O167" s="20">
        <v>150694</v>
      </c>
      <c r="P167" s="41">
        <v>10109</v>
      </c>
      <c r="Q167" s="41">
        <v>2617</v>
      </c>
      <c r="R167" s="41">
        <v>9270</v>
      </c>
      <c r="S167" s="41">
        <v>16599</v>
      </c>
      <c r="T167" s="41">
        <v>4868</v>
      </c>
      <c r="U167" s="41">
        <v>1850</v>
      </c>
      <c r="V167" s="41">
        <v>12347</v>
      </c>
      <c r="W167" s="41">
        <v>5797</v>
      </c>
    </row>
    <row r="168" spans="1:23" hidden="1" x14ac:dyDescent="0.25">
      <c r="A168" s="21">
        <v>5919</v>
      </c>
      <c r="B168" s="19">
        <v>9484</v>
      </c>
      <c r="C168" s="19" t="s">
        <v>312</v>
      </c>
      <c r="D168" s="19" t="s">
        <v>313</v>
      </c>
      <c r="E168" s="19" t="s">
        <v>26</v>
      </c>
      <c r="F168" s="19" t="s">
        <v>27</v>
      </c>
      <c r="G168" s="20" t="str">
        <f>IF(LEN(Table12_52_03[[#This Row],[Ledger Code]])&gt;3,"AR"&amp;Table12_52_03[[#This Row],[Ledger Code]],"TBC")</f>
        <v>AR9484</v>
      </c>
      <c r="H168" s="20">
        <v>0</v>
      </c>
      <c r="I168" s="20">
        <v>0</v>
      </c>
      <c r="J168" s="20">
        <v>0</v>
      </c>
      <c r="K168" s="20">
        <v>0</v>
      </c>
      <c r="L168" s="20">
        <v>0</v>
      </c>
      <c r="M168" s="20">
        <v>0</v>
      </c>
      <c r="N168" s="20">
        <v>0</v>
      </c>
      <c r="O168" s="20">
        <v>0</v>
      </c>
      <c r="P168" s="41">
        <v>0</v>
      </c>
      <c r="Q168" s="41">
        <v>0</v>
      </c>
      <c r="R168" s="41">
        <v>0</v>
      </c>
      <c r="S168" s="41">
        <v>0</v>
      </c>
      <c r="T168" s="41">
        <v>0</v>
      </c>
      <c r="U168" s="41">
        <v>0</v>
      </c>
      <c r="V168" s="41">
        <v>0</v>
      </c>
      <c r="W168" s="41">
        <v>0</v>
      </c>
    </row>
    <row r="169" spans="1:23" hidden="1" x14ac:dyDescent="0.25">
      <c r="A169" s="18">
        <v>5922</v>
      </c>
      <c r="B169" s="19">
        <v>9492</v>
      </c>
      <c r="C169" s="19" t="s">
        <v>314</v>
      </c>
      <c r="D169" s="19" t="s">
        <v>315</v>
      </c>
      <c r="E169" s="19" t="s">
        <v>26</v>
      </c>
      <c r="F169" s="19" t="s">
        <v>175</v>
      </c>
      <c r="G169" s="20" t="str">
        <f>IF(LEN(Table12_52_03[[#This Row],[Ledger Code]])&gt;3,"AR"&amp;Table12_52_03[[#This Row],[Ledger Code]],"TBC")</f>
        <v>AR9492</v>
      </c>
      <c r="H169" s="20">
        <v>0</v>
      </c>
      <c r="I169" s="20">
        <v>0</v>
      </c>
      <c r="J169" s="20">
        <v>0</v>
      </c>
      <c r="K169" s="20">
        <v>0</v>
      </c>
      <c r="L169" s="20">
        <v>0</v>
      </c>
      <c r="M169" s="20">
        <v>0</v>
      </c>
      <c r="N169" s="20">
        <v>0</v>
      </c>
      <c r="O169" s="20">
        <v>0</v>
      </c>
      <c r="P169" s="41">
        <v>0</v>
      </c>
      <c r="Q169" s="41">
        <v>0</v>
      </c>
      <c r="R169" s="41">
        <v>0</v>
      </c>
      <c r="S169" s="41">
        <v>0</v>
      </c>
      <c r="T169" s="41">
        <v>0</v>
      </c>
      <c r="U169" s="41">
        <v>0</v>
      </c>
      <c r="V169" s="41">
        <v>0</v>
      </c>
      <c r="W169" s="41">
        <v>0</v>
      </c>
    </row>
    <row r="170" spans="1:23" hidden="1" x14ac:dyDescent="0.25">
      <c r="A170" s="18">
        <v>5925</v>
      </c>
      <c r="B170" s="19">
        <v>9122</v>
      </c>
      <c r="C170" s="19" t="s">
        <v>316</v>
      </c>
      <c r="D170" s="19" t="s">
        <v>317</v>
      </c>
      <c r="E170" s="19" t="s">
        <v>9</v>
      </c>
      <c r="F170" s="19" t="s">
        <v>10</v>
      </c>
      <c r="G170" s="20" t="str">
        <f>IF(LEN(Table12_52_03[[#This Row],[Ledger Code]])&gt;3,"AR"&amp;Table12_52_03[[#This Row],[Ledger Code]],"TBC")</f>
        <v>AR9122</v>
      </c>
      <c r="H170" s="20">
        <v>0</v>
      </c>
      <c r="I170" s="20">
        <v>0</v>
      </c>
      <c r="J170" s="20">
        <v>0</v>
      </c>
      <c r="K170" s="20">
        <v>0</v>
      </c>
      <c r="L170" s="20">
        <v>0</v>
      </c>
      <c r="M170" s="20">
        <v>3782</v>
      </c>
      <c r="N170" s="20">
        <v>22646</v>
      </c>
      <c r="O170" s="20">
        <v>43844</v>
      </c>
      <c r="P170" s="41">
        <v>0</v>
      </c>
      <c r="Q170" s="41">
        <v>0</v>
      </c>
      <c r="R170" s="41">
        <v>-2257.4699999999998</v>
      </c>
      <c r="S170" s="41">
        <v>1471.92</v>
      </c>
      <c r="T170" s="41">
        <v>1952.33</v>
      </c>
      <c r="U170" s="41">
        <v>20740.079999999998</v>
      </c>
      <c r="V170" s="41">
        <v>4852.9300000000012</v>
      </c>
      <c r="W170" s="41">
        <v>7506.3999999999978</v>
      </c>
    </row>
    <row r="171" spans="1:23" hidden="1" x14ac:dyDescent="0.25">
      <c r="A171" s="18">
        <v>5966</v>
      </c>
      <c r="B171" s="19">
        <v>8125</v>
      </c>
      <c r="C171" s="19" t="s">
        <v>342</v>
      </c>
      <c r="D171" s="19" t="s">
        <v>343</v>
      </c>
      <c r="E171" s="19" t="s">
        <v>26</v>
      </c>
      <c r="F171" s="19" t="s">
        <v>48</v>
      </c>
      <c r="G171" s="20" t="str">
        <f>IF(LEN(Table12_52_03[[#This Row],[Ledger Code]])&gt;3,"AR"&amp;Table12_52_03[[#This Row],[Ledger Code]],"TBC")</f>
        <v>AR8125</v>
      </c>
      <c r="H171" s="20">
        <v>0</v>
      </c>
      <c r="I171" s="20">
        <v>0</v>
      </c>
      <c r="J171" s="20">
        <v>0</v>
      </c>
      <c r="K171" s="20">
        <v>0</v>
      </c>
      <c r="L171" s="20">
        <v>0</v>
      </c>
      <c r="M171" s="20">
        <v>0</v>
      </c>
      <c r="N171" s="20">
        <v>0</v>
      </c>
      <c r="O171" s="20">
        <v>0</v>
      </c>
      <c r="P171" s="41">
        <v>0</v>
      </c>
      <c r="Q171" s="41">
        <v>0</v>
      </c>
      <c r="R171" s="41">
        <v>-1.1368683772161603E-13</v>
      </c>
      <c r="S171" s="41">
        <v>0</v>
      </c>
      <c r="T171" s="41">
        <v>0</v>
      </c>
      <c r="U171" s="41">
        <v>0</v>
      </c>
      <c r="V171" s="41">
        <v>0</v>
      </c>
      <c r="W171" s="41">
        <v>0</v>
      </c>
    </row>
    <row r="172" spans="1:23" hidden="1" x14ac:dyDescent="0.25">
      <c r="A172" s="18">
        <v>5967</v>
      </c>
      <c r="B172" s="19">
        <v>4213</v>
      </c>
      <c r="C172" s="19" t="s">
        <v>339</v>
      </c>
      <c r="D172" s="19" t="s">
        <v>340</v>
      </c>
      <c r="E172" s="19" t="s">
        <v>57</v>
      </c>
      <c r="F172" s="19" t="s">
        <v>233</v>
      </c>
      <c r="G172" s="20" t="str">
        <f>IF(LEN(Table12_52_03[[#This Row],[Ledger Code]])&gt;3,"AR"&amp;Table12_52_03[[#This Row],[Ledger Code]],"TBC")</f>
        <v>AR4213</v>
      </c>
      <c r="H172" s="20">
        <v>0</v>
      </c>
      <c r="I172" s="20">
        <v>0</v>
      </c>
      <c r="J172" s="20">
        <v>0</v>
      </c>
      <c r="K172" s="20">
        <v>0</v>
      </c>
      <c r="L172" s="20">
        <v>0</v>
      </c>
      <c r="M172" s="20">
        <v>0</v>
      </c>
      <c r="N172" s="20">
        <v>0</v>
      </c>
      <c r="O172" s="20">
        <v>0</v>
      </c>
      <c r="P172" s="41">
        <v>0</v>
      </c>
      <c r="Q172" s="41">
        <v>0</v>
      </c>
      <c r="R172" s="41">
        <v>0</v>
      </c>
      <c r="S172" s="41">
        <v>4973.41</v>
      </c>
      <c r="T172" s="41">
        <v>1612.0500000000002</v>
      </c>
      <c r="U172" s="41">
        <v>28613.599999999999</v>
      </c>
      <c r="V172" s="41">
        <v>-27453.34</v>
      </c>
      <c r="W172" s="41">
        <v>1169.97</v>
      </c>
    </row>
    <row r="173" spans="1:23" hidden="1" x14ac:dyDescent="0.25">
      <c r="A173" s="18">
        <v>6027</v>
      </c>
      <c r="B173" s="19">
        <v>2680</v>
      </c>
      <c r="C173" s="19" t="s">
        <v>336</v>
      </c>
      <c r="D173" s="19" t="s">
        <v>309</v>
      </c>
      <c r="E173" s="19" t="s">
        <v>57</v>
      </c>
      <c r="F173" s="19" t="s">
        <v>70</v>
      </c>
      <c r="G173" s="20" t="str">
        <f>IF(LEN(Table12_52_03[[#This Row],[Ledger Code]])&gt;3,"AR"&amp;Table12_52_03[[#This Row],[Ledger Code]],"TBC")</f>
        <v>AR2680</v>
      </c>
      <c r="H173" s="20">
        <v>0</v>
      </c>
      <c r="I173" s="20">
        <v>0</v>
      </c>
      <c r="J173" s="20">
        <v>0</v>
      </c>
      <c r="K173" s="20">
        <v>0</v>
      </c>
      <c r="L173" s="20">
        <v>0</v>
      </c>
      <c r="M173" s="20">
        <v>0</v>
      </c>
      <c r="N173" s="20">
        <v>0</v>
      </c>
      <c r="O173" s="20">
        <v>0</v>
      </c>
      <c r="P173" s="41">
        <v>0</v>
      </c>
      <c r="Q173" s="41">
        <v>0</v>
      </c>
      <c r="R173" s="41">
        <v>0</v>
      </c>
      <c r="S173" s="41">
        <v>0</v>
      </c>
      <c r="T173" s="41">
        <v>0</v>
      </c>
      <c r="U173" s="41">
        <v>0</v>
      </c>
      <c r="V173" s="41">
        <v>0</v>
      </c>
      <c r="W173" s="41">
        <v>0</v>
      </c>
    </row>
    <row r="174" spans="1:23" hidden="1" x14ac:dyDescent="0.25">
      <c r="A174" s="18">
        <v>6068</v>
      </c>
      <c r="B174" s="19" t="s">
        <v>387</v>
      </c>
      <c r="C174" s="19" t="s">
        <v>327</v>
      </c>
      <c r="D174" s="19" t="s">
        <v>328</v>
      </c>
      <c r="E174" s="19" t="s">
        <v>26</v>
      </c>
      <c r="F174" s="19" t="s">
        <v>175</v>
      </c>
      <c r="G174" s="20" t="str">
        <f>IF(LEN(Table12_52_03[[#This Row],[Ledger Code]])&gt;3,"AR"&amp;Table12_52_03[[#This Row],[Ledger Code]],"TBC")</f>
        <v>TBC</v>
      </c>
      <c r="H174" s="20">
        <v>0</v>
      </c>
      <c r="I174" s="20">
        <v>0</v>
      </c>
      <c r="J174" s="20">
        <v>0</v>
      </c>
      <c r="K174" s="20">
        <v>0</v>
      </c>
      <c r="L174" s="20">
        <v>0</v>
      </c>
      <c r="M174" s="20">
        <v>0</v>
      </c>
      <c r="N174" s="20">
        <v>0</v>
      </c>
      <c r="O174" s="20">
        <v>0</v>
      </c>
      <c r="P174" s="41">
        <v>0</v>
      </c>
      <c r="Q174" s="41">
        <v>0</v>
      </c>
      <c r="R174" s="41">
        <v>0</v>
      </c>
      <c r="S174" s="41">
        <v>0</v>
      </c>
      <c r="T174" s="41">
        <v>0</v>
      </c>
      <c r="U174" s="41">
        <v>0</v>
      </c>
      <c r="V174" s="41">
        <v>0</v>
      </c>
      <c r="W174" s="41">
        <v>0</v>
      </c>
    </row>
    <row r="175" spans="1:23" hidden="1" x14ac:dyDescent="0.25">
      <c r="A175" s="18" t="s">
        <v>625</v>
      </c>
      <c r="B175" s="19" t="s">
        <v>387</v>
      </c>
      <c r="C175" s="19" t="s">
        <v>322</v>
      </c>
      <c r="D175" s="19">
        <v>0</v>
      </c>
      <c r="E175" s="19" t="s">
        <v>9</v>
      </c>
      <c r="F175" s="19">
        <v>0</v>
      </c>
      <c r="G175" s="20" t="str">
        <f>IF(LEN(Table12_52_03[[#This Row],[Ledger Code]])&gt;3,"AR"&amp;Table12_52_03[[#This Row],[Ledger Code]],"TBC")</f>
        <v>TBC</v>
      </c>
      <c r="H175" s="20">
        <v>0</v>
      </c>
      <c r="I175" s="20">
        <v>0</v>
      </c>
      <c r="J175" s="20">
        <v>0</v>
      </c>
      <c r="K175" s="20">
        <v>0</v>
      </c>
      <c r="L175" s="20">
        <v>0</v>
      </c>
      <c r="M175" s="20">
        <v>0</v>
      </c>
      <c r="N175" s="20">
        <v>0</v>
      </c>
      <c r="O175" s="20">
        <v>0</v>
      </c>
      <c r="P175" s="41">
        <v>0</v>
      </c>
      <c r="Q175" s="41">
        <v>0</v>
      </c>
      <c r="R175" s="41">
        <v>0</v>
      </c>
      <c r="S175" s="41">
        <v>0</v>
      </c>
      <c r="T175" s="41">
        <v>0</v>
      </c>
      <c r="U175" s="41">
        <v>0</v>
      </c>
      <c r="V175" s="41">
        <v>0</v>
      </c>
      <c r="W175" s="41">
        <v>0</v>
      </c>
    </row>
    <row r="176" spans="1:23" hidden="1" x14ac:dyDescent="0.25">
      <c r="A176" s="20">
        <v>5914</v>
      </c>
      <c r="B176" s="20">
        <v>9478</v>
      </c>
      <c r="C176" s="20" t="s">
        <v>388</v>
      </c>
      <c r="D176" s="20" t="s">
        <v>364</v>
      </c>
      <c r="E176" s="20" t="s">
        <v>57</v>
      </c>
      <c r="F176" s="20" t="s">
        <v>58</v>
      </c>
      <c r="G176" s="20" t="str">
        <f>IF(LEN(Table12_52_03[[#This Row],[Ledger Code]])&gt;3,"AR"&amp;Table12_52_03[[#This Row],[Ledger Code]],"TBC")</f>
        <v>AR9478</v>
      </c>
      <c r="H176" s="20">
        <v>0</v>
      </c>
      <c r="I176" s="20">
        <v>0</v>
      </c>
      <c r="J176" s="20">
        <v>0</v>
      </c>
      <c r="K176" s="20">
        <v>0</v>
      </c>
      <c r="L176" s="20">
        <v>0</v>
      </c>
      <c r="M176" s="20">
        <v>0</v>
      </c>
      <c r="N176" s="20">
        <v>0</v>
      </c>
      <c r="O176" s="20">
        <v>0</v>
      </c>
      <c r="P176" s="41">
        <v>0</v>
      </c>
      <c r="Q176" s="41">
        <v>0</v>
      </c>
      <c r="R176" s="41">
        <v>0</v>
      </c>
      <c r="S176" s="41">
        <v>0</v>
      </c>
      <c r="T176" s="41">
        <v>0</v>
      </c>
      <c r="U176" s="41">
        <v>2.2737367544323206E-13</v>
      </c>
      <c r="V176" s="41">
        <v>0</v>
      </c>
      <c r="W176" s="41">
        <v>0</v>
      </c>
    </row>
    <row r="177" spans="1:23" hidden="1" x14ac:dyDescent="0.25">
      <c r="A177" s="20">
        <v>6106</v>
      </c>
      <c r="B177" s="20">
        <v>9478</v>
      </c>
      <c r="C177" s="20" t="s">
        <v>363</v>
      </c>
      <c r="D177" s="20" t="s">
        <v>364</v>
      </c>
      <c r="E177" s="20" t="s">
        <v>57</v>
      </c>
      <c r="F177" s="20" t="s">
        <v>58</v>
      </c>
      <c r="G177" s="20" t="str">
        <f>IF(LEN(Table12_52_03[[#This Row],[Ledger Code]])&gt;3,"AR"&amp;Table12_52_03[[#This Row],[Ledger Code]],"TBC")</f>
        <v>AR9478</v>
      </c>
      <c r="H177" s="20">
        <v>0</v>
      </c>
      <c r="I177" s="20">
        <v>0</v>
      </c>
      <c r="J177" s="20">
        <v>0</v>
      </c>
      <c r="K177" s="20">
        <v>0</v>
      </c>
      <c r="L177" s="20">
        <v>0</v>
      </c>
      <c r="M177" s="20">
        <v>0</v>
      </c>
      <c r="N177" s="20">
        <v>0</v>
      </c>
      <c r="O177" s="20">
        <v>0</v>
      </c>
      <c r="P177" s="41">
        <v>0</v>
      </c>
      <c r="Q177" s="41">
        <v>0</v>
      </c>
      <c r="R177" s="41">
        <v>0</v>
      </c>
      <c r="S177" s="41">
        <v>0</v>
      </c>
      <c r="T177" s="41">
        <v>0</v>
      </c>
      <c r="U177" s="41">
        <v>2.2737367544323206E-13</v>
      </c>
      <c r="V177" s="41">
        <v>0</v>
      </c>
      <c r="W177" s="41">
        <v>0</v>
      </c>
    </row>
    <row r="178" spans="1:23" hidden="1" x14ac:dyDescent="0.25">
      <c r="A178" s="20">
        <v>6107</v>
      </c>
      <c r="B178" s="20">
        <v>9478</v>
      </c>
      <c r="C178" s="20" t="s">
        <v>365</v>
      </c>
      <c r="D178" s="20" t="s">
        <v>364</v>
      </c>
      <c r="E178" s="20" t="s">
        <v>57</v>
      </c>
      <c r="F178" s="20" t="s">
        <v>58</v>
      </c>
      <c r="G178" s="20" t="str">
        <f>IF(LEN(Table12_52_03[[#This Row],[Ledger Code]])&gt;3,"AR"&amp;Table12_52_03[[#This Row],[Ledger Code]],"TBC")</f>
        <v>AR9478</v>
      </c>
      <c r="H178" s="20">
        <v>0</v>
      </c>
      <c r="I178" s="20">
        <v>0</v>
      </c>
      <c r="J178" s="20">
        <v>0</v>
      </c>
      <c r="K178" s="20">
        <v>0</v>
      </c>
      <c r="L178" s="20">
        <v>0</v>
      </c>
      <c r="M178" s="20">
        <v>0</v>
      </c>
      <c r="N178" s="20">
        <v>0</v>
      </c>
      <c r="O178" s="20">
        <v>0</v>
      </c>
      <c r="P178" s="41">
        <v>0</v>
      </c>
      <c r="Q178" s="41">
        <v>0</v>
      </c>
      <c r="R178" s="41">
        <v>0</v>
      </c>
      <c r="S178" s="41">
        <v>0</v>
      </c>
      <c r="T178" s="41">
        <v>0</v>
      </c>
      <c r="U178" s="41">
        <v>2.2737367544323206E-13</v>
      </c>
      <c r="V178" s="41">
        <v>0</v>
      </c>
      <c r="W178" s="41">
        <v>0</v>
      </c>
    </row>
    <row r="179" spans="1:23" hidden="1" x14ac:dyDescent="0.25">
      <c r="A179" s="20">
        <v>5877</v>
      </c>
      <c r="B179" s="20">
        <v>7517</v>
      </c>
      <c r="C179" s="20" t="s">
        <v>366</v>
      </c>
      <c r="D179" s="20" t="s">
        <v>305</v>
      </c>
      <c r="E179" s="20" t="s">
        <v>220</v>
      </c>
      <c r="F179" s="20" t="s">
        <v>228</v>
      </c>
      <c r="G179" s="20" t="str">
        <f>IF(LEN(Table12_52_03[[#This Row],[Ledger Code]])&gt;3,"AR"&amp;Table12_52_03[[#This Row],[Ledger Code]],"TBC")</f>
        <v>AR7517</v>
      </c>
      <c r="H179" s="20">
        <v>0</v>
      </c>
      <c r="I179" s="20">
        <v>0</v>
      </c>
      <c r="J179" s="20">
        <v>0</v>
      </c>
      <c r="K179" s="20">
        <v>0</v>
      </c>
      <c r="L179" s="20">
        <v>0</v>
      </c>
      <c r="M179" s="20">
        <v>0</v>
      </c>
      <c r="N179" s="20">
        <v>0</v>
      </c>
      <c r="O179" s="20">
        <v>0</v>
      </c>
      <c r="P179" s="41">
        <v>0</v>
      </c>
      <c r="Q179" s="41">
        <v>0</v>
      </c>
      <c r="R179" s="41">
        <v>0</v>
      </c>
      <c r="S179" s="41">
        <v>0</v>
      </c>
      <c r="T179" s="41">
        <v>0</v>
      </c>
      <c r="U179" s="41">
        <v>0</v>
      </c>
      <c r="V179" s="41">
        <v>0</v>
      </c>
      <c r="W179" s="41">
        <v>0</v>
      </c>
    </row>
    <row r="180" spans="1:23" hidden="1" x14ac:dyDescent="0.25">
      <c r="A180" s="20">
        <v>5901</v>
      </c>
      <c r="B180" s="20">
        <v>9454</v>
      </c>
      <c r="C180" s="20" t="s">
        <v>367</v>
      </c>
      <c r="D180" s="20" t="s">
        <v>305</v>
      </c>
      <c r="E180" s="20" t="s">
        <v>220</v>
      </c>
      <c r="F180" s="20" t="s">
        <v>228</v>
      </c>
      <c r="G180" s="20" t="str">
        <f>IF(LEN(Table12_52_03[[#This Row],[Ledger Code]])&gt;3,"AR"&amp;Table12_52_03[[#This Row],[Ledger Code]],"TBC")</f>
        <v>AR9454</v>
      </c>
      <c r="H180" s="20">
        <v>0</v>
      </c>
      <c r="I180" s="20">
        <v>0</v>
      </c>
      <c r="J180" s="20">
        <v>0</v>
      </c>
      <c r="K180" s="20">
        <v>0</v>
      </c>
      <c r="L180" s="20">
        <v>0</v>
      </c>
      <c r="M180" s="20">
        <v>0</v>
      </c>
      <c r="N180" s="20">
        <v>0</v>
      </c>
      <c r="O180" s="20">
        <v>0</v>
      </c>
      <c r="P180" s="41">
        <v>0</v>
      </c>
      <c r="Q180" s="41">
        <v>0</v>
      </c>
      <c r="R180" s="41">
        <v>0</v>
      </c>
      <c r="S180" s="41">
        <v>0</v>
      </c>
      <c r="T180" s="41">
        <v>0</v>
      </c>
      <c r="U180" s="41">
        <v>0</v>
      </c>
      <c r="V180" s="41">
        <v>0</v>
      </c>
      <c r="W180" s="41">
        <v>0</v>
      </c>
    </row>
    <row r="181" spans="1:23" hidden="1" x14ac:dyDescent="0.25">
      <c r="A181" s="43">
        <v>940</v>
      </c>
      <c r="B181" s="43">
        <v>2527</v>
      </c>
      <c r="C181" s="43" t="s">
        <v>495</v>
      </c>
      <c r="D181" s="43" t="s">
        <v>496</v>
      </c>
      <c r="E181" s="43" t="s">
        <v>57</v>
      </c>
      <c r="F181" s="43" t="s">
        <v>58</v>
      </c>
      <c r="G181" s="44" t="str">
        <f>IF(LEN(Table12_52_03[[#This Row],[Ledger Code]])&gt;3,"AR"&amp;Table12_52_03[[#This Row],[Ledger Code]],"TBC")</f>
        <v>AR2527</v>
      </c>
      <c r="H181" s="43">
        <v>0</v>
      </c>
      <c r="I181" s="43">
        <v>0</v>
      </c>
      <c r="J181" s="43">
        <v>0</v>
      </c>
      <c r="K181" s="43">
        <v>0</v>
      </c>
      <c r="L181" s="43">
        <v>0</v>
      </c>
      <c r="M181" s="43">
        <v>0</v>
      </c>
      <c r="N181" s="43">
        <v>0</v>
      </c>
      <c r="O181" s="43">
        <v>0</v>
      </c>
      <c r="P181" s="45">
        <v>0</v>
      </c>
      <c r="Q181" s="45">
        <v>0</v>
      </c>
      <c r="R181" s="45">
        <v>0</v>
      </c>
      <c r="S181" s="45">
        <v>52948.31</v>
      </c>
      <c r="T181" s="45">
        <v>11892.9</v>
      </c>
      <c r="U181" s="45">
        <v>-64152.45</v>
      </c>
      <c r="V181" s="45">
        <v>0</v>
      </c>
      <c r="W181" s="45">
        <v>0</v>
      </c>
    </row>
    <row r="182" spans="1:23" hidden="1" x14ac:dyDescent="0.25">
      <c r="A182" s="43">
        <v>2470</v>
      </c>
      <c r="B182" s="43">
        <v>3466</v>
      </c>
      <c r="C182" s="43" t="s">
        <v>497</v>
      </c>
      <c r="D182" s="43" t="s">
        <v>498</v>
      </c>
      <c r="E182" s="43" t="s">
        <v>57</v>
      </c>
      <c r="F182" s="43" t="s">
        <v>58</v>
      </c>
      <c r="G182" s="44" t="str">
        <f>IF(LEN(Table12_52_03[[#This Row],[Ledger Code]])&gt;3,"AR"&amp;Table12_52_03[[#This Row],[Ledger Code]],"TBC")</f>
        <v>AR3466</v>
      </c>
      <c r="H182" s="43">
        <v>0</v>
      </c>
      <c r="I182" s="43">
        <v>0</v>
      </c>
      <c r="J182" s="43">
        <v>0</v>
      </c>
      <c r="K182" s="43">
        <v>0</v>
      </c>
      <c r="L182" s="43">
        <v>0</v>
      </c>
      <c r="M182" s="43">
        <v>0</v>
      </c>
      <c r="N182" s="43">
        <v>0</v>
      </c>
      <c r="O182" s="43">
        <v>0</v>
      </c>
      <c r="P182" s="45">
        <v>0</v>
      </c>
      <c r="Q182" s="45">
        <v>0</v>
      </c>
      <c r="R182" s="45">
        <v>0</v>
      </c>
      <c r="S182" s="45">
        <v>0</v>
      </c>
      <c r="T182" s="45">
        <v>0</v>
      </c>
      <c r="U182" s="45">
        <v>0</v>
      </c>
      <c r="V182" s="45">
        <v>0</v>
      </c>
      <c r="W182" s="45">
        <v>0</v>
      </c>
    </row>
    <row r="183" spans="1:23" hidden="1" x14ac:dyDescent="0.25">
      <c r="A183" s="43">
        <v>2502</v>
      </c>
      <c r="B183" s="43">
        <v>3594</v>
      </c>
      <c r="C183" s="43" t="s">
        <v>499</v>
      </c>
      <c r="D183" s="43" t="s">
        <v>500</v>
      </c>
      <c r="E183" s="43" t="s">
        <v>57</v>
      </c>
      <c r="F183" s="43" t="s">
        <v>58</v>
      </c>
      <c r="G183" s="44" t="str">
        <f>IF(LEN(Table12_52_03[[#This Row],[Ledger Code]])&gt;3,"AR"&amp;Table12_52_03[[#This Row],[Ledger Code]],"TBC")</f>
        <v>AR3594</v>
      </c>
      <c r="H183" s="43">
        <v>0</v>
      </c>
      <c r="I183" s="43">
        <v>0</v>
      </c>
      <c r="J183" s="43">
        <v>0</v>
      </c>
      <c r="K183" s="43">
        <v>0</v>
      </c>
      <c r="L183" s="43">
        <v>0</v>
      </c>
      <c r="M183" s="43">
        <v>0</v>
      </c>
      <c r="N183" s="43">
        <v>0</v>
      </c>
      <c r="O183" s="43">
        <v>0</v>
      </c>
      <c r="P183" s="45">
        <v>0</v>
      </c>
      <c r="Q183" s="45">
        <v>0</v>
      </c>
      <c r="R183" s="45">
        <v>0</v>
      </c>
      <c r="S183" s="45">
        <v>0</v>
      </c>
      <c r="T183" s="45">
        <v>0</v>
      </c>
      <c r="U183" s="45">
        <v>0</v>
      </c>
      <c r="V183" s="45">
        <v>0</v>
      </c>
      <c r="W183" s="45">
        <v>0</v>
      </c>
    </row>
    <row r="184" spans="1:23" hidden="1" x14ac:dyDescent="0.25">
      <c r="A184" s="43">
        <v>2593</v>
      </c>
      <c r="B184" s="43">
        <v>3195</v>
      </c>
      <c r="C184" s="43" t="s">
        <v>501</v>
      </c>
      <c r="D184" s="43" t="s">
        <v>502</v>
      </c>
      <c r="E184" s="43" t="s">
        <v>57</v>
      </c>
      <c r="F184" s="43" t="s">
        <v>58</v>
      </c>
      <c r="G184" s="44" t="str">
        <f>IF(LEN(Table12_52_03[[#This Row],[Ledger Code]])&gt;3,"AR"&amp;Table12_52_03[[#This Row],[Ledger Code]],"TBC")</f>
        <v>AR3195</v>
      </c>
      <c r="H184" s="43">
        <v>0</v>
      </c>
      <c r="I184" s="43">
        <v>0</v>
      </c>
      <c r="J184" s="43">
        <v>0</v>
      </c>
      <c r="K184" s="43">
        <v>0</v>
      </c>
      <c r="L184" s="43">
        <v>0</v>
      </c>
      <c r="M184" s="43">
        <v>0</v>
      </c>
      <c r="N184" s="43">
        <v>0</v>
      </c>
      <c r="O184" s="43">
        <v>0</v>
      </c>
      <c r="P184" s="45">
        <v>0</v>
      </c>
      <c r="Q184" s="45">
        <v>0</v>
      </c>
      <c r="R184" s="45">
        <v>0</v>
      </c>
      <c r="S184" s="45">
        <v>0</v>
      </c>
      <c r="T184" s="45">
        <v>0</v>
      </c>
      <c r="U184" s="45">
        <v>0</v>
      </c>
      <c r="V184" s="45">
        <v>0</v>
      </c>
      <c r="W184" s="45">
        <v>0</v>
      </c>
    </row>
    <row r="185" spans="1:23" hidden="1" x14ac:dyDescent="0.25">
      <c r="A185" s="43">
        <v>2596</v>
      </c>
      <c r="B185" s="43">
        <v>3199</v>
      </c>
      <c r="C185" s="43" t="s">
        <v>503</v>
      </c>
      <c r="D185" s="43" t="s">
        <v>504</v>
      </c>
      <c r="E185" s="43" t="s">
        <v>57</v>
      </c>
      <c r="F185" s="43" t="s">
        <v>58</v>
      </c>
      <c r="G185" s="44" t="str">
        <f>IF(LEN(Table12_52_03[[#This Row],[Ledger Code]])&gt;3,"AR"&amp;Table12_52_03[[#This Row],[Ledger Code]],"TBC")</f>
        <v>AR3199</v>
      </c>
      <c r="H185" s="43">
        <v>0</v>
      </c>
      <c r="I185" s="43">
        <v>0</v>
      </c>
      <c r="J185" s="43">
        <v>0</v>
      </c>
      <c r="K185" s="43">
        <v>0</v>
      </c>
      <c r="L185" s="43">
        <v>0</v>
      </c>
      <c r="M185" s="43">
        <v>0</v>
      </c>
      <c r="N185" s="43">
        <v>0</v>
      </c>
      <c r="O185" s="43">
        <v>0</v>
      </c>
      <c r="P185" s="45">
        <v>0</v>
      </c>
      <c r="Q185" s="45">
        <v>1989.3999999999999</v>
      </c>
      <c r="R185" s="45">
        <v>0</v>
      </c>
      <c r="S185" s="45">
        <v>0</v>
      </c>
      <c r="T185" s="45">
        <v>0</v>
      </c>
      <c r="U185" s="45">
        <v>0</v>
      </c>
      <c r="V185" s="45">
        <v>0</v>
      </c>
      <c r="W185" s="45">
        <v>180</v>
      </c>
    </row>
    <row r="186" spans="1:23" hidden="1" x14ac:dyDescent="0.25">
      <c r="A186" s="43">
        <v>2597</v>
      </c>
      <c r="B186" s="43">
        <v>3200</v>
      </c>
      <c r="C186" s="43" t="s">
        <v>505</v>
      </c>
      <c r="D186" s="43" t="s">
        <v>504</v>
      </c>
      <c r="E186" s="43" t="s">
        <v>57</v>
      </c>
      <c r="F186" s="43" t="s">
        <v>58</v>
      </c>
      <c r="G186" s="44" t="str">
        <f>IF(LEN(Table12_52_03[[#This Row],[Ledger Code]])&gt;3,"AR"&amp;Table12_52_03[[#This Row],[Ledger Code]],"TBC")</f>
        <v>AR3200</v>
      </c>
      <c r="H186" s="43">
        <v>0</v>
      </c>
      <c r="I186" s="43">
        <v>0</v>
      </c>
      <c r="J186" s="43">
        <v>0</v>
      </c>
      <c r="K186" s="43">
        <v>0</v>
      </c>
      <c r="L186" s="43">
        <v>0</v>
      </c>
      <c r="M186" s="43">
        <v>0</v>
      </c>
      <c r="N186" s="43">
        <v>0</v>
      </c>
      <c r="O186" s="43">
        <v>0</v>
      </c>
      <c r="P186" s="45">
        <v>908.17999999999984</v>
      </c>
      <c r="Q186" s="45">
        <v>5.6843418860808015E-14</v>
      </c>
      <c r="R186" s="45">
        <v>2082.9499999999998</v>
      </c>
      <c r="S186" s="45">
        <v>4063.48</v>
      </c>
      <c r="T186" s="45">
        <v>1202.49</v>
      </c>
      <c r="U186" s="45">
        <v>1514.16</v>
      </c>
      <c r="V186" s="45">
        <v>1231.1599999999999</v>
      </c>
      <c r="W186" s="45">
        <v>2318.65</v>
      </c>
    </row>
    <row r="187" spans="1:23" hidden="1" x14ac:dyDescent="0.25">
      <c r="A187" s="43">
        <v>2698</v>
      </c>
      <c r="B187" s="43">
        <v>3493</v>
      </c>
      <c r="C187" s="43" t="s">
        <v>331</v>
      </c>
      <c r="D187" s="43" t="s">
        <v>506</v>
      </c>
      <c r="E187" s="43" t="s">
        <v>57</v>
      </c>
      <c r="F187" s="43" t="s">
        <v>58</v>
      </c>
      <c r="G187" s="44" t="str">
        <f>IF(LEN(Table12_52_03[[#This Row],[Ledger Code]])&gt;3,"AR"&amp;Table12_52_03[[#This Row],[Ledger Code]],"TBC")</f>
        <v>AR3493</v>
      </c>
      <c r="H187" s="43">
        <v>0</v>
      </c>
      <c r="I187" s="43">
        <v>0</v>
      </c>
      <c r="J187" s="43">
        <v>0</v>
      </c>
      <c r="K187" s="43">
        <v>0</v>
      </c>
      <c r="L187" s="43">
        <v>0</v>
      </c>
      <c r="M187" s="43">
        <v>0</v>
      </c>
      <c r="N187" s="43">
        <v>0</v>
      </c>
      <c r="O187" s="43">
        <v>0</v>
      </c>
      <c r="P187" s="45">
        <v>0</v>
      </c>
      <c r="Q187" s="45">
        <v>1129.44</v>
      </c>
      <c r="R187" s="45">
        <v>444.56999999999994</v>
      </c>
      <c r="S187" s="45">
        <v>1564.29</v>
      </c>
      <c r="T187" s="45">
        <v>765.93999999999983</v>
      </c>
      <c r="U187" s="45">
        <v>257.08000000000015</v>
      </c>
      <c r="V187" s="45">
        <v>626.41999999999996</v>
      </c>
      <c r="W187" s="45">
        <v>1040.45</v>
      </c>
    </row>
    <row r="188" spans="1:23" hidden="1" x14ac:dyDescent="0.25">
      <c r="A188" s="43">
        <v>4292</v>
      </c>
      <c r="B188" s="43">
        <v>4107</v>
      </c>
      <c r="C188" s="43" t="s">
        <v>507</v>
      </c>
      <c r="D188" s="43" t="s">
        <v>508</v>
      </c>
      <c r="E188" s="43" t="s">
        <v>57</v>
      </c>
      <c r="F188" s="43" t="s">
        <v>233</v>
      </c>
      <c r="G188" s="44" t="str">
        <f>IF(LEN(Table12_52_03[[#This Row],[Ledger Code]])&gt;3,"AR"&amp;Table12_52_03[[#This Row],[Ledger Code]],"TBC")</f>
        <v>AR4107</v>
      </c>
      <c r="H188" s="43">
        <v>0</v>
      </c>
      <c r="I188" s="43">
        <v>0</v>
      </c>
      <c r="J188" s="43">
        <v>0</v>
      </c>
      <c r="K188" s="43">
        <v>14564</v>
      </c>
      <c r="L188" s="43">
        <v>23177</v>
      </c>
      <c r="M188" s="43">
        <v>9057</v>
      </c>
      <c r="N188" s="43">
        <v>13136</v>
      </c>
      <c r="O188" s="43">
        <v>40819</v>
      </c>
      <c r="P188" s="45">
        <v>0</v>
      </c>
      <c r="Q188" s="45">
        <v>0</v>
      </c>
      <c r="R188" s="45">
        <v>-1.1368683772161603E-13</v>
      </c>
      <c r="S188" s="45">
        <v>5004.8100000000004</v>
      </c>
      <c r="T188" s="45">
        <v>1475.21</v>
      </c>
      <c r="U188" s="45">
        <v>339.96999999999969</v>
      </c>
      <c r="V188" s="45">
        <v>554.41000000000031</v>
      </c>
      <c r="W188" s="45">
        <v>1013.3800000000001</v>
      </c>
    </row>
    <row r="189" spans="1:23" hidden="1" x14ac:dyDescent="0.25">
      <c r="A189" s="43">
        <v>4332</v>
      </c>
      <c r="B189" s="43">
        <v>4197</v>
      </c>
      <c r="C189" s="43" t="s">
        <v>509</v>
      </c>
      <c r="D189" s="43" t="s">
        <v>510</v>
      </c>
      <c r="E189" s="43" t="s">
        <v>57</v>
      </c>
      <c r="F189" s="43" t="s">
        <v>233</v>
      </c>
      <c r="G189" s="44" t="str">
        <f>IF(LEN(Table12_52_03[[#This Row],[Ledger Code]])&gt;3,"AR"&amp;Table12_52_03[[#This Row],[Ledger Code]],"TBC")</f>
        <v>AR4197</v>
      </c>
      <c r="H189" s="43">
        <v>0</v>
      </c>
      <c r="I189" s="43">
        <v>0</v>
      </c>
      <c r="J189" s="43">
        <v>0</v>
      </c>
      <c r="K189" s="43">
        <v>0</v>
      </c>
      <c r="L189" s="43">
        <v>0</v>
      </c>
      <c r="M189" s="43">
        <v>0</v>
      </c>
      <c r="N189" s="43">
        <v>0</v>
      </c>
      <c r="O189" s="43">
        <v>0</v>
      </c>
      <c r="P189" s="45">
        <v>0</v>
      </c>
      <c r="Q189" s="45">
        <v>0</v>
      </c>
      <c r="R189" s="45">
        <v>0</v>
      </c>
      <c r="S189" s="45">
        <v>0</v>
      </c>
      <c r="T189" s="45">
        <v>0</v>
      </c>
      <c r="U189" s="45">
        <v>0</v>
      </c>
      <c r="V189" s="45">
        <v>0</v>
      </c>
      <c r="W189" s="45">
        <v>0</v>
      </c>
    </row>
    <row r="190" spans="1:23" hidden="1" x14ac:dyDescent="0.25">
      <c r="A190" s="43">
        <v>5943</v>
      </c>
      <c r="B190" s="43">
        <v>4200</v>
      </c>
      <c r="C190" s="43" t="s">
        <v>511</v>
      </c>
      <c r="D190" s="43" t="s">
        <v>512</v>
      </c>
      <c r="E190" s="43" t="s">
        <v>57</v>
      </c>
      <c r="F190" s="43" t="s">
        <v>233</v>
      </c>
      <c r="G190" s="44" t="str">
        <f>IF(LEN(Table12_52_03[[#This Row],[Ledger Code]])&gt;3,"AR"&amp;Table12_52_03[[#This Row],[Ledger Code]],"TBC")</f>
        <v>AR4200</v>
      </c>
      <c r="H190" s="43">
        <v>0</v>
      </c>
      <c r="I190" s="43">
        <v>0</v>
      </c>
      <c r="J190" s="43">
        <v>0</v>
      </c>
      <c r="K190" s="43">
        <v>0</v>
      </c>
      <c r="L190" s="43">
        <v>0</v>
      </c>
      <c r="M190" s="43">
        <v>0</v>
      </c>
      <c r="N190" s="43">
        <v>0</v>
      </c>
      <c r="O190" s="43">
        <v>0</v>
      </c>
      <c r="P190" s="45">
        <v>0</v>
      </c>
      <c r="Q190" s="45">
        <v>0</v>
      </c>
      <c r="R190" s="45">
        <v>0</v>
      </c>
      <c r="S190" s="45">
        <v>0</v>
      </c>
      <c r="T190" s="45">
        <v>0</v>
      </c>
      <c r="U190" s="45">
        <v>0</v>
      </c>
      <c r="V190" s="45">
        <v>0</v>
      </c>
      <c r="W190" s="45">
        <v>0</v>
      </c>
    </row>
    <row r="191" spans="1:23" hidden="1" x14ac:dyDescent="0.25">
      <c r="A191" s="43">
        <v>4377</v>
      </c>
      <c r="B191" s="43">
        <v>4107</v>
      </c>
      <c r="C191" s="43" t="s">
        <v>513</v>
      </c>
      <c r="D191" s="43" t="s">
        <v>508</v>
      </c>
      <c r="E191" s="43" t="s">
        <v>57</v>
      </c>
      <c r="F191" s="43" t="s">
        <v>233</v>
      </c>
      <c r="G191" s="44" t="str">
        <f>IF(LEN(Table12_52_03[[#This Row],[Ledger Code]])&gt;3,"AR"&amp;Table12_52_03[[#This Row],[Ledger Code]],"TBC")</f>
        <v>AR4107</v>
      </c>
      <c r="H191" s="43">
        <v>0</v>
      </c>
      <c r="I191" s="43">
        <v>0</v>
      </c>
      <c r="J191" s="43">
        <v>0</v>
      </c>
      <c r="K191" s="43">
        <v>14564</v>
      </c>
      <c r="L191" s="43">
        <v>23177</v>
      </c>
      <c r="M191" s="43">
        <v>9057</v>
      </c>
      <c r="N191" s="43">
        <v>13136</v>
      </c>
      <c r="O191" s="43">
        <v>40819</v>
      </c>
      <c r="P191" s="45">
        <v>0</v>
      </c>
      <c r="Q191" s="45">
        <v>0</v>
      </c>
      <c r="R191" s="45">
        <v>-1.1368683772161603E-13</v>
      </c>
      <c r="S191" s="45">
        <v>5004.8100000000004</v>
      </c>
      <c r="T191" s="45">
        <v>1475.21</v>
      </c>
      <c r="U191" s="45">
        <v>339.96999999999969</v>
      </c>
      <c r="V191" s="45">
        <v>554.41000000000031</v>
      </c>
      <c r="W191" s="45">
        <v>1013.3800000000001</v>
      </c>
    </row>
    <row r="192" spans="1:23" hidden="1" x14ac:dyDescent="0.25">
      <c r="A192" s="43">
        <v>4379</v>
      </c>
      <c r="B192" s="43">
        <v>4121</v>
      </c>
      <c r="C192" s="43" t="s">
        <v>514</v>
      </c>
      <c r="D192" s="43" t="s">
        <v>515</v>
      </c>
      <c r="E192" s="43" t="s">
        <v>57</v>
      </c>
      <c r="F192" s="43" t="s">
        <v>233</v>
      </c>
      <c r="G192" s="44" t="str">
        <f>IF(LEN(Table12_52_03[[#This Row],[Ledger Code]])&gt;3,"AR"&amp;Table12_52_03[[#This Row],[Ledger Code]],"TBC")</f>
        <v>AR4121</v>
      </c>
      <c r="H192" s="43">
        <v>0</v>
      </c>
      <c r="I192" s="43">
        <v>0</v>
      </c>
      <c r="J192" s="43">
        <v>0</v>
      </c>
      <c r="K192" s="43">
        <v>0</v>
      </c>
      <c r="L192" s="43">
        <v>0</v>
      </c>
      <c r="M192" s="43">
        <v>0</v>
      </c>
      <c r="N192" s="43">
        <v>0</v>
      </c>
      <c r="O192" s="43">
        <v>0</v>
      </c>
      <c r="P192" s="45">
        <v>0</v>
      </c>
      <c r="Q192" s="45">
        <v>0</v>
      </c>
      <c r="R192" s="45">
        <v>0</v>
      </c>
      <c r="S192" s="45">
        <v>0</v>
      </c>
      <c r="T192" s="45">
        <v>0</v>
      </c>
      <c r="U192" s="45">
        <v>0</v>
      </c>
      <c r="V192" s="45">
        <v>0</v>
      </c>
      <c r="W192" s="45">
        <v>0</v>
      </c>
    </row>
    <row r="193" spans="1:23" hidden="1" x14ac:dyDescent="0.25">
      <c r="A193" s="43">
        <v>4386</v>
      </c>
      <c r="B193" s="43">
        <v>4119</v>
      </c>
      <c r="C193" s="43" t="s">
        <v>516</v>
      </c>
      <c r="D193" s="43" t="s">
        <v>517</v>
      </c>
      <c r="E193" s="43" t="s">
        <v>57</v>
      </c>
      <c r="F193" s="43" t="s">
        <v>233</v>
      </c>
      <c r="G193" s="44" t="str">
        <f>IF(LEN(Table12_52_03[[#This Row],[Ledger Code]])&gt;3,"AR"&amp;Table12_52_03[[#This Row],[Ledger Code]],"TBC")</f>
        <v>AR4119</v>
      </c>
      <c r="H193" s="43">
        <v>0</v>
      </c>
      <c r="I193" s="43">
        <v>0</v>
      </c>
      <c r="J193" s="43">
        <v>0</v>
      </c>
      <c r="K193" s="43">
        <v>0</v>
      </c>
      <c r="L193" s="43">
        <v>0</v>
      </c>
      <c r="M193" s="43">
        <v>0</v>
      </c>
      <c r="N193" s="43">
        <v>0</v>
      </c>
      <c r="O193" s="43">
        <v>0</v>
      </c>
      <c r="P193" s="45">
        <v>0</v>
      </c>
      <c r="Q193" s="45">
        <v>0</v>
      </c>
      <c r="R193" s="45">
        <v>0</v>
      </c>
      <c r="S193" s="45">
        <v>0</v>
      </c>
      <c r="T193" s="45">
        <v>0</v>
      </c>
      <c r="U193" s="45">
        <v>0</v>
      </c>
      <c r="V193" s="45">
        <v>0</v>
      </c>
      <c r="W193" s="45">
        <v>0</v>
      </c>
    </row>
    <row r="194" spans="1:23" hidden="1" x14ac:dyDescent="0.25">
      <c r="A194" s="43">
        <v>5942</v>
      </c>
      <c r="B194" s="43">
        <v>4201</v>
      </c>
      <c r="C194" s="43" t="s">
        <v>518</v>
      </c>
      <c r="D194" s="43" t="s">
        <v>519</v>
      </c>
      <c r="E194" s="43" t="s">
        <v>57</v>
      </c>
      <c r="F194" s="43" t="s">
        <v>233</v>
      </c>
      <c r="G194" s="44" t="str">
        <f>IF(LEN(Table12_52_03[[#This Row],[Ledger Code]])&gt;3,"AR"&amp;Table12_52_03[[#This Row],[Ledger Code]],"TBC")</f>
        <v>AR4201</v>
      </c>
      <c r="H194" s="43">
        <v>0</v>
      </c>
      <c r="I194" s="43">
        <v>0</v>
      </c>
      <c r="J194" s="43">
        <v>0</v>
      </c>
      <c r="K194" s="43">
        <v>0</v>
      </c>
      <c r="L194" s="43">
        <v>0</v>
      </c>
      <c r="M194" s="43">
        <v>0</v>
      </c>
      <c r="N194" s="43">
        <v>0</v>
      </c>
      <c r="O194" s="43">
        <v>0</v>
      </c>
      <c r="P194" s="45">
        <v>0</v>
      </c>
      <c r="Q194" s="45">
        <v>0</v>
      </c>
      <c r="R194" s="45">
        <v>0</v>
      </c>
      <c r="S194" s="45">
        <v>0</v>
      </c>
      <c r="T194" s="45">
        <v>0</v>
      </c>
      <c r="U194" s="45">
        <v>0</v>
      </c>
      <c r="V194" s="45">
        <v>0</v>
      </c>
      <c r="W194" s="45">
        <v>0</v>
      </c>
    </row>
    <row r="195" spans="1:23" hidden="1" x14ac:dyDescent="0.25">
      <c r="A195" s="43">
        <v>5944</v>
      </c>
      <c r="B195" s="43">
        <v>4199</v>
      </c>
      <c r="C195" s="43" t="s">
        <v>520</v>
      </c>
      <c r="D195" s="43" t="s">
        <v>521</v>
      </c>
      <c r="E195" s="43" t="s">
        <v>57</v>
      </c>
      <c r="F195" s="43" t="s">
        <v>233</v>
      </c>
      <c r="G195" s="44" t="str">
        <f>IF(LEN(Table12_52_03[[#This Row],[Ledger Code]])&gt;3,"AR"&amp;Table12_52_03[[#This Row],[Ledger Code]],"TBC")</f>
        <v>AR4199</v>
      </c>
      <c r="H195" s="43">
        <v>0</v>
      </c>
      <c r="I195" s="43">
        <v>0</v>
      </c>
      <c r="J195" s="43">
        <v>0</v>
      </c>
      <c r="K195" s="43">
        <v>0</v>
      </c>
      <c r="L195" s="43">
        <v>0</v>
      </c>
      <c r="M195" s="43">
        <v>0</v>
      </c>
      <c r="N195" s="43">
        <v>0</v>
      </c>
      <c r="O195" s="43">
        <v>0</v>
      </c>
      <c r="P195" s="45">
        <v>0</v>
      </c>
      <c r="Q195" s="45">
        <v>0</v>
      </c>
      <c r="R195" s="45">
        <v>0</v>
      </c>
      <c r="S195" s="45">
        <v>0</v>
      </c>
      <c r="T195" s="45">
        <v>0</v>
      </c>
      <c r="U195" s="45">
        <v>0</v>
      </c>
      <c r="V195" s="45">
        <v>0</v>
      </c>
      <c r="W195" s="45">
        <v>0</v>
      </c>
    </row>
    <row r="196" spans="1:23" hidden="1" x14ac:dyDescent="0.25">
      <c r="A196" s="43">
        <v>5946</v>
      </c>
      <c r="B196" s="43">
        <v>4058</v>
      </c>
      <c r="C196" s="43" t="s">
        <v>522</v>
      </c>
      <c r="D196" s="43" t="s">
        <v>523</v>
      </c>
      <c r="E196" s="43" t="s">
        <v>57</v>
      </c>
      <c r="F196" s="43" t="s">
        <v>233</v>
      </c>
      <c r="G196" s="44" t="str">
        <f>IF(LEN(Table12_52_03[[#This Row],[Ledger Code]])&gt;3,"AR"&amp;Table12_52_03[[#This Row],[Ledger Code]],"TBC")</f>
        <v>AR4058</v>
      </c>
      <c r="H196" s="43">
        <v>0</v>
      </c>
      <c r="I196" s="43">
        <v>0</v>
      </c>
      <c r="J196" s="43">
        <v>0</v>
      </c>
      <c r="K196" s="43">
        <v>0</v>
      </c>
      <c r="L196" s="43">
        <v>0</v>
      </c>
      <c r="M196" s="43">
        <v>0</v>
      </c>
      <c r="N196" s="43">
        <v>0</v>
      </c>
      <c r="O196" s="43">
        <v>0</v>
      </c>
      <c r="P196" s="45">
        <v>0</v>
      </c>
      <c r="Q196" s="45">
        <v>2542.1999999999998</v>
      </c>
      <c r="R196" s="45">
        <v>0</v>
      </c>
      <c r="S196" s="45">
        <v>-423.69999999999982</v>
      </c>
      <c r="T196" s="45">
        <v>0</v>
      </c>
      <c r="U196" s="45">
        <v>0</v>
      </c>
      <c r="V196" s="45">
        <v>0</v>
      </c>
      <c r="W196" s="45">
        <v>0</v>
      </c>
    </row>
    <row r="197" spans="1:23" hidden="1" x14ac:dyDescent="0.25">
      <c r="A197" s="43">
        <v>5863</v>
      </c>
      <c r="B197" s="43">
        <v>4562</v>
      </c>
      <c r="C197" s="43" t="s">
        <v>524</v>
      </c>
      <c r="D197" s="43" t="s">
        <v>525</v>
      </c>
      <c r="E197" s="43" t="s">
        <v>57</v>
      </c>
      <c r="F197" s="43" t="s">
        <v>233</v>
      </c>
      <c r="G197" s="44" t="str">
        <f>IF(LEN(Table12_52_03[[#This Row],[Ledger Code]])&gt;3,"AR"&amp;Table12_52_03[[#This Row],[Ledger Code]],"TBC")</f>
        <v>AR4562</v>
      </c>
      <c r="H197" s="43">
        <v>0</v>
      </c>
      <c r="I197" s="43">
        <v>0</v>
      </c>
      <c r="J197" s="43">
        <v>0</v>
      </c>
      <c r="K197" s="43">
        <v>0</v>
      </c>
      <c r="L197" s="43">
        <v>0</v>
      </c>
      <c r="M197" s="43">
        <v>0</v>
      </c>
      <c r="N197" s="43">
        <v>0</v>
      </c>
      <c r="O197" s="43">
        <v>0</v>
      </c>
      <c r="P197" s="45">
        <v>0</v>
      </c>
      <c r="Q197" s="45">
        <v>0</v>
      </c>
      <c r="R197" s="45">
        <v>2.2737367544323206E-13</v>
      </c>
      <c r="S197" s="45">
        <v>0</v>
      </c>
      <c r="T197" s="45">
        <v>0</v>
      </c>
      <c r="U197" s="45">
        <v>0</v>
      </c>
      <c r="V197" s="45">
        <v>0</v>
      </c>
      <c r="W197" s="45">
        <v>0</v>
      </c>
    </row>
    <row r="198" spans="1:23" hidden="1" x14ac:dyDescent="0.25">
      <c r="A198" s="43">
        <v>5795</v>
      </c>
      <c r="B198" s="43">
        <v>4395</v>
      </c>
      <c r="C198" s="43" t="s">
        <v>526</v>
      </c>
      <c r="D198" s="43" t="s">
        <v>527</v>
      </c>
      <c r="E198" s="43" t="s">
        <v>57</v>
      </c>
      <c r="F198" s="43" t="s">
        <v>233</v>
      </c>
      <c r="G198" s="44" t="str">
        <f>IF(LEN(Table12_52_03[[#This Row],[Ledger Code]])&gt;3,"AR"&amp;Table12_52_03[[#This Row],[Ledger Code]],"TBC")</f>
        <v>AR4395</v>
      </c>
      <c r="H198" s="43">
        <v>0</v>
      </c>
      <c r="I198" s="43">
        <v>0</v>
      </c>
      <c r="J198" s="43">
        <v>0</v>
      </c>
      <c r="K198" s="43">
        <v>0</v>
      </c>
      <c r="L198" s="43">
        <v>0</v>
      </c>
      <c r="M198" s="43">
        <v>0</v>
      </c>
      <c r="N198" s="43">
        <v>0</v>
      </c>
      <c r="O198" s="43">
        <v>0</v>
      </c>
      <c r="P198" s="45">
        <v>0</v>
      </c>
      <c r="Q198" s="45">
        <v>0</v>
      </c>
      <c r="R198" s="45">
        <v>0</v>
      </c>
      <c r="S198" s="45">
        <v>0</v>
      </c>
      <c r="T198" s="45">
        <v>0</v>
      </c>
      <c r="U198" s="45">
        <v>0</v>
      </c>
      <c r="V198" s="45">
        <v>0</v>
      </c>
      <c r="W198" s="45">
        <v>0</v>
      </c>
    </row>
    <row r="199" spans="1:23" hidden="1" x14ac:dyDescent="0.25">
      <c r="A199" s="43">
        <v>5872</v>
      </c>
      <c r="B199" s="43">
        <v>4434</v>
      </c>
      <c r="C199" s="43" t="s">
        <v>253</v>
      </c>
      <c r="D199" s="43" t="s">
        <v>565</v>
      </c>
      <c r="E199" s="43" t="s">
        <v>57</v>
      </c>
      <c r="F199" s="43" t="s">
        <v>233</v>
      </c>
      <c r="G199" s="44" t="str">
        <f>IF(LEN(Table12_52_03[[#This Row],[Ledger Code]])&gt;3,"AR"&amp;Table12_52_03[[#This Row],[Ledger Code]],"TBC")</f>
        <v>AR4434</v>
      </c>
      <c r="H199" s="43">
        <v>99931</v>
      </c>
      <c r="I199" s="43">
        <v>44291</v>
      </c>
      <c r="J199" s="43">
        <v>99326</v>
      </c>
      <c r="K199" s="43">
        <v>243733</v>
      </c>
      <c r="L199" s="43">
        <v>66536</v>
      </c>
      <c r="M199" s="43">
        <v>32493</v>
      </c>
      <c r="N199" s="43">
        <v>103787</v>
      </c>
      <c r="O199" s="43">
        <v>211505</v>
      </c>
      <c r="P199" s="45">
        <v>0</v>
      </c>
      <c r="Q199" s="45">
        <v>4772.07</v>
      </c>
      <c r="R199" s="45">
        <v>4165.5299999999988</v>
      </c>
      <c r="S199" s="45">
        <v>18743.150000000001</v>
      </c>
      <c r="T199" s="45">
        <v>3888.1800000000003</v>
      </c>
      <c r="U199" s="45">
        <v>1792.3300000000004</v>
      </c>
      <c r="V199" s="45">
        <v>4101.5200000000004</v>
      </c>
      <c r="W199" s="45">
        <v>4875.79</v>
      </c>
    </row>
    <row r="200" spans="1:23" hidden="1" x14ac:dyDescent="0.25">
      <c r="A200" s="43">
        <v>4941</v>
      </c>
      <c r="B200" s="43">
        <v>4261</v>
      </c>
      <c r="C200" s="43" t="s">
        <v>561</v>
      </c>
      <c r="D200" s="43" t="s">
        <v>562</v>
      </c>
      <c r="E200" s="43" t="s">
        <v>57</v>
      </c>
      <c r="F200" s="43" t="s">
        <v>233</v>
      </c>
      <c r="G200" s="44" t="str">
        <f>IF(LEN(Table12_52_03[[#This Row],[Ledger Code]])&gt;3,"AR"&amp;Table12_52_03[[#This Row],[Ledger Code]],"TBC")</f>
        <v>AR4261</v>
      </c>
      <c r="H200" s="43">
        <v>100523</v>
      </c>
      <c r="I200" s="43">
        <v>36736</v>
      </c>
      <c r="J200" s="43">
        <v>169128</v>
      </c>
      <c r="K200" s="43">
        <v>214256</v>
      </c>
      <c r="L200" s="43">
        <v>79049</v>
      </c>
      <c r="M200" s="43">
        <v>57540</v>
      </c>
      <c r="N200" s="43">
        <v>159566</v>
      </c>
      <c r="O200" s="43">
        <v>143590</v>
      </c>
      <c r="P200" s="45">
        <v>0</v>
      </c>
      <c r="Q200" s="45">
        <v>4883.4799999999996</v>
      </c>
      <c r="R200" s="45">
        <v>4375.76</v>
      </c>
      <c r="S200" s="45">
        <v>7819.33</v>
      </c>
      <c r="T200" s="45">
        <v>4623.1000000000004</v>
      </c>
      <c r="U200" s="45">
        <v>1700.0900000000001</v>
      </c>
      <c r="V200" s="45">
        <v>4132.49</v>
      </c>
      <c r="W200" s="45">
        <v>4722.91</v>
      </c>
    </row>
    <row r="201" spans="1:23" hidden="1" x14ac:dyDescent="0.25">
      <c r="A201" s="43">
        <v>5828</v>
      </c>
      <c r="B201" s="43">
        <v>4550</v>
      </c>
      <c r="C201" s="43" t="s">
        <v>563</v>
      </c>
      <c r="D201" s="43" t="s">
        <v>564</v>
      </c>
      <c r="E201" s="43" t="s">
        <v>57</v>
      </c>
      <c r="F201" s="43" t="s">
        <v>233</v>
      </c>
      <c r="G201" s="44" t="str">
        <f>IF(LEN(Table12_52_03[[#This Row],[Ledger Code]])&gt;3,"AR"&amp;Table12_52_03[[#This Row],[Ledger Code]],"TBC")</f>
        <v>AR4550</v>
      </c>
      <c r="H201" s="43">
        <v>19165</v>
      </c>
      <c r="I201" s="43">
        <v>9662</v>
      </c>
      <c r="J201" s="43">
        <v>22790</v>
      </c>
      <c r="K201" s="43">
        <v>40860</v>
      </c>
      <c r="L201" s="43">
        <v>23160</v>
      </c>
      <c r="M201" s="43">
        <v>9592</v>
      </c>
      <c r="N201" s="43">
        <v>20416</v>
      </c>
      <c r="O201" s="43">
        <v>44391</v>
      </c>
      <c r="P201" s="45">
        <v>0</v>
      </c>
      <c r="Q201" s="45">
        <v>1331.04</v>
      </c>
      <c r="R201" s="45">
        <v>991.07999999999993</v>
      </c>
      <c r="S201" s="45">
        <v>1599.7699999999998</v>
      </c>
      <c r="T201" s="45">
        <v>951.16000000000008</v>
      </c>
      <c r="U201" s="45">
        <v>343.65000000000003</v>
      </c>
      <c r="V201" s="45">
        <v>801.31000000000006</v>
      </c>
      <c r="W201" s="45">
        <v>1031.5999999999999</v>
      </c>
    </row>
    <row r="202" spans="1:23" hidden="1" x14ac:dyDescent="0.25">
      <c r="A202" s="43" t="s">
        <v>626</v>
      </c>
      <c r="B202" s="43" t="s">
        <v>387</v>
      </c>
      <c r="C202" s="43" t="s">
        <v>528</v>
      </c>
      <c r="D202" s="43">
        <v>0</v>
      </c>
      <c r="E202" s="43" t="s">
        <v>57</v>
      </c>
      <c r="F202" s="43" t="s">
        <v>70</v>
      </c>
      <c r="G202" s="44" t="str">
        <f>IF(LEN(Table12_52_03[[#This Row],[Ledger Code]])&gt;3,"AR"&amp;Table12_52_03[[#This Row],[Ledger Code]],"TBC")</f>
        <v>TBC</v>
      </c>
      <c r="H202" s="43">
        <v>0</v>
      </c>
      <c r="I202" s="43">
        <v>0</v>
      </c>
      <c r="J202" s="43">
        <v>0</v>
      </c>
      <c r="K202" s="43">
        <v>0</v>
      </c>
      <c r="L202" s="43">
        <v>0</v>
      </c>
      <c r="M202" s="43">
        <v>0</v>
      </c>
      <c r="N202" s="43">
        <v>0</v>
      </c>
      <c r="O202" s="43">
        <v>0</v>
      </c>
      <c r="P202" s="45">
        <v>0</v>
      </c>
      <c r="Q202" s="45">
        <v>0</v>
      </c>
      <c r="R202" s="45">
        <v>0</v>
      </c>
      <c r="S202" s="45">
        <v>0</v>
      </c>
      <c r="T202" s="45">
        <v>0</v>
      </c>
      <c r="U202" s="45">
        <v>0</v>
      </c>
      <c r="V202" s="45">
        <v>0</v>
      </c>
      <c r="W202" s="45">
        <v>0</v>
      </c>
    </row>
    <row r="203" spans="1:23" hidden="1" x14ac:dyDescent="0.25">
      <c r="A203" s="43">
        <v>1200</v>
      </c>
      <c r="B203" s="43">
        <v>2802</v>
      </c>
      <c r="C203" s="43" t="s">
        <v>529</v>
      </c>
      <c r="D203" s="43" t="s">
        <v>530</v>
      </c>
      <c r="E203" s="43" t="s">
        <v>57</v>
      </c>
      <c r="F203" s="43" t="s">
        <v>70</v>
      </c>
      <c r="G203" s="44" t="str">
        <f>IF(LEN(Table12_52_03[[#This Row],[Ledger Code]])&gt;3,"AR"&amp;Table12_52_03[[#This Row],[Ledger Code]],"TBC")</f>
        <v>AR2802</v>
      </c>
      <c r="H203" s="43">
        <v>3643</v>
      </c>
      <c r="I203" s="43">
        <v>6357</v>
      </c>
      <c r="J203" s="43">
        <v>9081</v>
      </c>
      <c r="K203" s="43">
        <v>14544</v>
      </c>
      <c r="L203" s="43">
        <v>9199</v>
      </c>
      <c r="M203" s="43">
        <v>-5641</v>
      </c>
      <c r="N203" s="43">
        <v>6948</v>
      </c>
      <c r="O203" s="43">
        <v>12709</v>
      </c>
      <c r="P203" s="45">
        <v>0</v>
      </c>
      <c r="Q203" s="45">
        <v>397.82</v>
      </c>
      <c r="R203" s="45">
        <v>328.6699999999999</v>
      </c>
      <c r="S203" s="45">
        <v>508.73</v>
      </c>
      <c r="T203" s="45">
        <v>318.23</v>
      </c>
      <c r="U203" s="45">
        <v>69.500000000000028</v>
      </c>
      <c r="V203" s="45">
        <v>274.49</v>
      </c>
      <c r="W203" s="45">
        <v>390.01</v>
      </c>
    </row>
    <row r="204" spans="1:23" hidden="1" x14ac:dyDescent="0.25">
      <c r="A204" s="43">
        <v>5961</v>
      </c>
      <c r="B204" s="43">
        <v>2681</v>
      </c>
      <c r="C204" s="43" t="s">
        <v>531</v>
      </c>
      <c r="D204" s="43" t="s">
        <v>532</v>
      </c>
      <c r="E204" s="43" t="s">
        <v>57</v>
      </c>
      <c r="F204" s="43" t="s">
        <v>70</v>
      </c>
      <c r="G204" s="44" t="str">
        <f>IF(LEN(Table12_52_03[[#This Row],[Ledger Code]])&gt;3,"AR"&amp;Table12_52_03[[#This Row],[Ledger Code]],"TBC")</f>
        <v>AR2681</v>
      </c>
      <c r="H204" s="43">
        <v>0</v>
      </c>
      <c r="I204" s="43">
        <v>0</v>
      </c>
      <c r="J204" s="43">
        <v>0</v>
      </c>
      <c r="K204" s="43">
        <v>0</v>
      </c>
      <c r="L204" s="43">
        <v>0</v>
      </c>
      <c r="M204" s="43">
        <v>0</v>
      </c>
      <c r="N204" s="43">
        <v>0</v>
      </c>
      <c r="O204" s="43">
        <v>0</v>
      </c>
      <c r="P204" s="45">
        <v>0</v>
      </c>
      <c r="Q204" s="45">
        <v>0</v>
      </c>
      <c r="R204" s="45">
        <v>0</v>
      </c>
      <c r="S204" s="45">
        <v>0</v>
      </c>
      <c r="T204" s="45">
        <v>0</v>
      </c>
      <c r="U204" s="45">
        <v>0</v>
      </c>
      <c r="V204" s="45">
        <v>0</v>
      </c>
      <c r="W204" s="45">
        <v>0</v>
      </c>
    </row>
    <row r="205" spans="1:23" hidden="1" x14ac:dyDescent="0.25">
      <c r="A205" s="43">
        <v>1279</v>
      </c>
      <c r="B205" s="43">
        <v>2936</v>
      </c>
      <c r="C205" s="43" t="s">
        <v>533</v>
      </c>
      <c r="D205" s="43" t="s">
        <v>534</v>
      </c>
      <c r="E205" s="43" t="s">
        <v>57</v>
      </c>
      <c r="F205" s="43" t="s">
        <v>70</v>
      </c>
      <c r="G205" s="44" t="str">
        <f>IF(LEN(Table12_52_03[[#This Row],[Ledger Code]])&gt;3,"AR"&amp;Table12_52_03[[#This Row],[Ledger Code]],"TBC")</f>
        <v>AR2936</v>
      </c>
      <c r="H205" s="43">
        <v>49915</v>
      </c>
      <c r="I205" s="43">
        <v>16309</v>
      </c>
      <c r="J205" s="43">
        <v>44575</v>
      </c>
      <c r="K205" s="43">
        <v>79118</v>
      </c>
      <c r="L205" s="43">
        <v>17527</v>
      </c>
      <c r="M205" s="43">
        <v>18359</v>
      </c>
      <c r="N205" s="43">
        <v>18899</v>
      </c>
      <c r="O205" s="43">
        <v>112149</v>
      </c>
      <c r="P205" s="45">
        <v>0</v>
      </c>
      <c r="Q205" s="45">
        <v>0</v>
      </c>
      <c r="R205" s="45">
        <v>0</v>
      </c>
      <c r="S205" s="45">
        <v>6725.5199999999995</v>
      </c>
      <c r="T205" s="45">
        <v>1211.92</v>
      </c>
      <c r="U205" s="45">
        <v>840.48</v>
      </c>
      <c r="V205" s="45">
        <v>1131.2900000000004</v>
      </c>
      <c r="W205" s="45">
        <v>1783.2299999999998</v>
      </c>
    </row>
    <row r="206" spans="1:23" hidden="1" x14ac:dyDescent="0.25">
      <c r="A206" s="43">
        <v>6026</v>
      </c>
      <c r="B206" s="43">
        <v>2679</v>
      </c>
      <c r="C206" s="43" t="s">
        <v>535</v>
      </c>
      <c r="D206" s="43" t="s">
        <v>309</v>
      </c>
      <c r="E206" s="43" t="s">
        <v>57</v>
      </c>
      <c r="F206" s="43" t="s">
        <v>70</v>
      </c>
      <c r="G206" s="44" t="str">
        <f>IF(LEN(Table12_52_03[[#This Row],[Ledger Code]])&gt;3,"AR"&amp;Table12_52_03[[#This Row],[Ledger Code]],"TBC")</f>
        <v>AR2679</v>
      </c>
      <c r="H206" s="43">
        <v>0</v>
      </c>
      <c r="I206" s="43">
        <v>0</v>
      </c>
      <c r="J206" s="43">
        <v>0</v>
      </c>
      <c r="K206" s="43">
        <v>0</v>
      </c>
      <c r="L206" s="43">
        <v>0</v>
      </c>
      <c r="M206" s="43">
        <v>0</v>
      </c>
      <c r="N206" s="43">
        <v>0</v>
      </c>
      <c r="O206" s="43">
        <v>0</v>
      </c>
      <c r="P206" s="45">
        <v>0</v>
      </c>
      <c r="Q206" s="45">
        <v>0</v>
      </c>
      <c r="R206" s="45">
        <v>0</v>
      </c>
      <c r="S206" s="45">
        <v>0</v>
      </c>
      <c r="T206" s="45">
        <v>0</v>
      </c>
      <c r="U206" s="45">
        <v>0</v>
      </c>
      <c r="V206" s="45">
        <v>0</v>
      </c>
      <c r="W206" s="45">
        <v>0</v>
      </c>
    </row>
    <row r="207" spans="1:23" hidden="1" x14ac:dyDescent="0.25">
      <c r="A207" s="43">
        <v>1269</v>
      </c>
      <c r="B207" s="43">
        <v>2905</v>
      </c>
      <c r="C207" s="43" t="s">
        <v>566</v>
      </c>
      <c r="D207" s="43" t="s">
        <v>567</v>
      </c>
      <c r="E207" s="43" t="s">
        <v>57</v>
      </c>
      <c r="F207" s="43" t="s">
        <v>70</v>
      </c>
      <c r="G207" s="44" t="str">
        <f>IF(LEN(Table12_52_03[[#This Row],[Ledger Code]])&gt;3,"AR"&amp;Table12_52_03[[#This Row],[Ledger Code]],"TBC")</f>
        <v>AR2905</v>
      </c>
      <c r="H207" s="43">
        <v>111564</v>
      </c>
      <c r="I207" s="43">
        <v>58700</v>
      </c>
      <c r="J207" s="43">
        <v>162578</v>
      </c>
      <c r="K207" s="43">
        <v>189818</v>
      </c>
      <c r="L207" s="43">
        <v>91751</v>
      </c>
      <c r="M207" s="43">
        <v>80407</v>
      </c>
      <c r="N207" s="43">
        <v>149551</v>
      </c>
      <c r="O207" s="43">
        <v>139471</v>
      </c>
      <c r="P207" s="45">
        <v>0</v>
      </c>
      <c r="Q207" s="45">
        <v>5230.95</v>
      </c>
      <c r="R207" s="45">
        <v>4644.7299999999977</v>
      </c>
      <c r="S207" s="45">
        <v>482.44000000000005</v>
      </c>
      <c r="T207" s="45">
        <v>11233.72</v>
      </c>
      <c r="U207" s="45">
        <v>2563.08</v>
      </c>
      <c r="V207" s="45">
        <v>4283.88</v>
      </c>
      <c r="W207" s="45">
        <v>4857.9400000000005</v>
      </c>
    </row>
    <row r="208" spans="1:23" hidden="1" x14ac:dyDescent="0.25">
      <c r="A208" s="43">
        <v>1787</v>
      </c>
      <c r="B208" s="43">
        <v>3023</v>
      </c>
      <c r="C208" s="43" t="s">
        <v>536</v>
      </c>
      <c r="D208" s="43" t="s">
        <v>537</v>
      </c>
      <c r="E208" s="43" t="s">
        <v>57</v>
      </c>
      <c r="F208" s="43" t="s">
        <v>70</v>
      </c>
      <c r="G208" s="44" t="str">
        <f>IF(LEN(Table12_52_03[[#This Row],[Ledger Code]])&gt;3,"AR"&amp;Table12_52_03[[#This Row],[Ledger Code]],"TBC")</f>
        <v>AR3023</v>
      </c>
      <c r="H208" s="43">
        <v>33957</v>
      </c>
      <c r="I208" s="43">
        <v>29816</v>
      </c>
      <c r="J208" s="43">
        <v>56200</v>
      </c>
      <c r="K208" s="43">
        <v>53756</v>
      </c>
      <c r="L208" s="43">
        <v>64545</v>
      </c>
      <c r="M208" s="43">
        <v>20668</v>
      </c>
      <c r="N208" s="43">
        <v>18650</v>
      </c>
      <c r="O208" s="43">
        <v>122609</v>
      </c>
      <c r="P208" s="45">
        <v>766.01</v>
      </c>
      <c r="Q208" s="45">
        <v>2612.8799999999997</v>
      </c>
      <c r="R208" s="45">
        <v>2134.2999999999997</v>
      </c>
      <c r="S208" s="45">
        <v>3196.6400000000003</v>
      </c>
      <c r="T208" s="45">
        <v>2143.0100000000002</v>
      </c>
      <c r="U208" s="45">
        <v>972.4199999999995</v>
      </c>
      <c r="V208" s="45">
        <v>1869.6499999999999</v>
      </c>
      <c r="W208" s="45">
        <v>1089.2899999999995</v>
      </c>
    </row>
    <row r="209" spans="1:23" hidden="1" x14ac:dyDescent="0.25">
      <c r="A209" s="43">
        <v>1765</v>
      </c>
      <c r="B209" s="43">
        <v>3000</v>
      </c>
      <c r="C209" s="43" t="s">
        <v>538</v>
      </c>
      <c r="D209" s="43" t="s">
        <v>539</v>
      </c>
      <c r="E209" s="43" t="s">
        <v>57</v>
      </c>
      <c r="F209" s="43" t="s">
        <v>70</v>
      </c>
      <c r="G209" s="44" t="str">
        <f>IF(LEN(Table12_52_03[[#This Row],[Ledger Code]])&gt;3,"AR"&amp;Table12_52_03[[#This Row],[Ledger Code]],"TBC")</f>
        <v>AR3000</v>
      </c>
      <c r="H209" s="43">
        <v>541802.51223999995</v>
      </c>
      <c r="I209" s="43">
        <v>219000.65693999999</v>
      </c>
      <c r="J209" s="43">
        <v>431604.44501999998</v>
      </c>
      <c r="K209" s="43">
        <v>596940.61921999999</v>
      </c>
      <c r="L209" s="43">
        <v>456901.66113999992</v>
      </c>
      <c r="M209" s="43">
        <v>222104.19889999996</v>
      </c>
      <c r="N209" s="43">
        <v>388221.84049999993</v>
      </c>
      <c r="O209" s="43">
        <v>611509.40431999997</v>
      </c>
      <c r="P209" s="45">
        <v>8038.66</v>
      </c>
      <c r="Q209" s="45">
        <v>10624.479999999996</v>
      </c>
      <c r="R209" s="45">
        <v>20142.910000000003</v>
      </c>
      <c r="S209" s="45">
        <v>15745.38</v>
      </c>
      <c r="T209" s="45">
        <v>6871.48</v>
      </c>
      <c r="U209" s="45">
        <v>11417.48</v>
      </c>
      <c r="V209" s="45">
        <v>-18288.96</v>
      </c>
      <c r="W209" s="45">
        <v>6031.8899999999994</v>
      </c>
    </row>
    <row r="210" spans="1:23" hidden="1" x14ac:dyDescent="0.25">
      <c r="A210" s="43">
        <v>6055</v>
      </c>
      <c r="B210" s="43" t="s">
        <v>387</v>
      </c>
      <c r="C210" s="43" t="s">
        <v>540</v>
      </c>
      <c r="D210" s="43" t="s">
        <v>541</v>
      </c>
      <c r="E210" s="43" t="s">
        <v>57</v>
      </c>
      <c r="F210" s="43" t="s">
        <v>70</v>
      </c>
      <c r="G210" s="44" t="str">
        <f>IF(LEN(Table12_52_03[[#This Row],[Ledger Code]])&gt;3,"AR"&amp;Table12_52_03[[#This Row],[Ledger Code]],"TBC")</f>
        <v>TBC</v>
      </c>
      <c r="H210" s="43">
        <v>0</v>
      </c>
      <c r="I210" s="43">
        <v>0</v>
      </c>
      <c r="J210" s="43">
        <v>0</v>
      </c>
      <c r="K210" s="43">
        <v>0</v>
      </c>
      <c r="L210" s="43">
        <v>0</v>
      </c>
      <c r="M210" s="43">
        <v>0</v>
      </c>
      <c r="N210" s="43">
        <v>0</v>
      </c>
      <c r="O210" s="43">
        <v>0</v>
      </c>
      <c r="P210" s="45">
        <v>0</v>
      </c>
      <c r="Q210" s="45">
        <v>0</v>
      </c>
      <c r="R210" s="45">
        <v>0</v>
      </c>
      <c r="S210" s="45">
        <v>0</v>
      </c>
      <c r="T210" s="45">
        <v>0</v>
      </c>
      <c r="U210" s="45">
        <v>0</v>
      </c>
      <c r="V210" s="45">
        <v>0</v>
      </c>
      <c r="W210" s="45">
        <v>0</v>
      </c>
    </row>
    <row r="211" spans="1:23" hidden="1" x14ac:dyDescent="0.25">
      <c r="A211" s="43">
        <v>1850</v>
      </c>
      <c r="B211" s="43">
        <v>3064</v>
      </c>
      <c r="C211" s="43" t="s">
        <v>542</v>
      </c>
      <c r="D211" s="43" t="s">
        <v>543</v>
      </c>
      <c r="E211" s="43" t="s">
        <v>57</v>
      </c>
      <c r="F211" s="43" t="s">
        <v>70</v>
      </c>
      <c r="G211" s="44" t="str">
        <f>IF(LEN(Table12_52_03[[#This Row],[Ledger Code]])&gt;3,"AR"&amp;Table12_52_03[[#This Row],[Ledger Code]],"TBC")</f>
        <v>AR3064</v>
      </c>
      <c r="H211" s="43">
        <v>27453</v>
      </c>
      <c r="I211" s="43">
        <v>12298</v>
      </c>
      <c r="J211" s="43">
        <v>40832</v>
      </c>
      <c r="K211" s="43">
        <v>15723</v>
      </c>
      <c r="L211" s="43">
        <v>53021</v>
      </c>
      <c r="M211" s="43">
        <v>12728</v>
      </c>
      <c r="N211" s="43">
        <v>42572</v>
      </c>
      <c r="O211" s="43">
        <v>40015</v>
      </c>
      <c r="P211" s="45">
        <v>0</v>
      </c>
      <c r="Q211" s="45">
        <v>1675.3600000000004</v>
      </c>
      <c r="R211" s="45">
        <v>1474.98</v>
      </c>
      <c r="S211" s="45">
        <v>2300.5300000000002</v>
      </c>
      <c r="T211" s="45">
        <v>1569.22</v>
      </c>
      <c r="U211" s="45">
        <v>49.949999999999335</v>
      </c>
      <c r="V211" s="45">
        <v>1221.17</v>
      </c>
      <c r="W211" s="45">
        <v>1266.1100000000001</v>
      </c>
    </row>
    <row r="212" spans="1:23" hidden="1" x14ac:dyDescent="0.25">
      <c r="A212" s="43">
        <v>1820</v>
      </c>
      <c r="B212" s="43">
        <v>3106</v>
      </c>
      <c r="C212" s="43" t="s">
        <v>544</v>
      </c>
      <c r="D212" s="43" t="s">
        <v>545</v>
      </c>
      <c r="E212" s="43" t="s">
        <v>57</v>
      </c>
      <c r="F212" s="43" t="s">
        <v>70</v>
      </c>
      <c r="G212" s="44" t="str">
        <f>IF(LEN(Table12_52_03[[#This Row],[Ledger Code]])&gt;3,"AR"&amp;Table12_52_03[[#This Row],[Ledger Code]],"TBC")</f>
        <v>AR3106</v>
      </c>
      <c r="H212" s="43">
        <v>87792</v>
      </c>
      <c r="I212" s="43">
        <v>13835</v>
      </c>
      <c r="J212" s="43">
        <v>109922</v>
      </c>
      <c r="K212" s="43">
        <v>72131</v>
      </c>
      <c r="L212" s="43">
        <v>87822</v>
      </c>
      <c r="M212" s="43">
        <v>8807</v>
      </c>
      <c r="N212" s="43">
        <v>100824</v>
      </c>
      <c r="O212" s="43">
        <v>84782</v>
      </c>
      <c r="P212" s="45">
        <v>0</v>
      </c>
      <c r="Q212" s="45">
        <v>0</v>
      </c>
      <c r="R212" s="45">
        <v>-6.8212102632969618E-13</v>
      </c>
      <c r="S212" s="45">
        <v>-9.0949470177292824E-13</v>
      </c>
      <c r="T212" s="45">
        <v>0</v>
      </c>
      <c r="U212" s="45">
        <v>0</v>
      </c>
      <c r="V212" s="45">
        <v>6957.5</v>
      </c>
      <c r="W212" s="45">
        <v>8081.4599999999991</v>
      </c>
    </row>
    <row r="213" spans="1:23" hidden="1" x14ac:dyDescent="0.25">
      <c r="A213" s="43">
        <v>3177</v>
      </c>
      <c r="B213" s="43">
        <v>3753</v>
      </c>
      <c r="C213" s="43" t="s">
        <v>546</v>
      </c>
      <c r="D213" s="43" t="s">
        <v>547</v>
      </c>
      <c r="E213" s="43" t="s">
        <v>57</v>
      </c>
      <c r="F213" s="43" t="s">
        <v>548</v>
      </c>
      <c r="G213" s="44" t="str">
        <f>IF(LEN(Table12_52_03[[#This Row],[Ledger Code]])&gt;3,"AR"&amp;Table12_52_03[[#This Row],[Ledger Code]],"TBC")</f>
        <v>AR3753</v>
      </c>
      <c r="H213" s="43">
        <v>0</v>
      </c>
      <c r="I213" s="43">
        <v>0</v>
      </c>
      <c r="J213" s="43">
        <v>0</v>
      </c>
      <c r="K213" s="43">
        <v>0</v>
      </c>
      <c r="L213" s="43">
        <v>0</v>
      </c>
      <c r="M213" s="43">
        <v>0</v>
      </c>
      <c r="N213" s="43">
        <v>0</v>
      </c>
      <c r="O213" s="43">
        <v>0</v>
      </c>
      <c r="P213" s="45">
        <v>0</v>
      </c>
      <c r="Q213" s="45">
        <v>0</v>
      </c>
      <c r="R213" s="45">
        <v>0</v>
      </c>
      <c r="S213" s="45">
        <v>0</v>
      </c>
      <c r="T213" s="45">
        <v>0</v>
      </c>
      <c r="U213" s="45">
        <v>0</v>
      </c>
      <c r="V213" s="45">
        <v>0</v>
      </c>
      <c r="W213" s="45">
        <v>0</v>
      </c>
    </row>
    <row r="214" spans="1:23" hidden="1" x14ac:dyDescent="0.25">
      <c r="A214" s="43" t="s">
        <v>627</v>
      </c>
      <c r="B214" s="43" t="s">
        <v>387</v>
      </c>
      <c r="C214" s="43" t="s">
        <v>549</v>
      </c>
      <c r="D214" s="43" t="s">
        <v>550</v>
      </c>
      <c r="E214" s="43" t="s">
        <v>57</v>
      </c>
      <c r="F214" s="43" t="s">
        <v>548</v>
      </c>
      <c r="G214" s="44" t="str">
        <f>IF(LEN(Table12_52_03[[#This Row],[Ledger Code]])&gt;3,"AR"&amp;Table12_52_03[[#This Row],[Ledger Code]],"TBC")</f>
        <v>TBC</v>
      </c>
      <c r="H214" s="43">
        <v>0</v>
      </c>
      <c r="I214" s="43">
        <v>0</v>
      </c>
      <c r="J214" s="43">
        <v>0</v>
      </c>
      <c r="K214" s="43">
        <v>0</v>
      </c>
      <c r="L214" s="43">
        <v>0</v>
      </c>
      <c r="M214" s="43">
        <v>0</v>
      </c>
      <c r="N214" s="43">
        <v>0</v>
      </c>
      <c r="O214" s="43">
        <v>0</v>
      </c>
      <c r="P214" s="45">
        <v>0</v>
      </c>
      <c r="Q214" s="45">
        <v>0</v>
      </c>
      <c r="R214" s="45">
        <v>0</v>
      </c>
      <c r="S214" s="45">
        <v>0</v>
      </c>
      <c r="T214" s="45">
        <v>0</v>
      </c>
      <c r="U214" s="45">
        <v>0</v>
      </c>
      <c r="V214" s="45">
        <v>0</v>
      </c>
      <c r="W214" s="45">
        <v>0</v>
      </c>
    </row>
    <row r="215" spans="1:23" hidden="1" x14ac:dyDescent="0.25">
      <c r="A215" s="43">
        <v>3386</v>
      </c>
      <c r="B215" s="43">
        <v>3688</v>
      </c>
      <c r="C215" s="43" t="s">
        <v>551</v>
      </c>
      <c r="D215" s="43" t="s">
        <v>552</v>
      </c>
      <c r="E215" s="43" t="s">
        <v>57</v>
      </c>
      <c r="F215" s="43" t="s">
        <v>548</v>
      </c>
      <c r="G215" s="44" t="str">
        <f>IF(LEN(Table12_52_03[[#This Row],[Ledger Code]])&gt;3,"AR"&amp;Table12_52_03[[#This Row],[Ledger Code]],"TBC")</f>
        <v>AR3688</v>
      </c>
      <c r="H215" s="43">
        <v>0</v>
      </c>
      <c r="I215" s="43">
        <v>0</v>
      </c>
      <c r="J215" s="43">
        <v>0</v>
      </c>
      <c r="K215" s="43">
        <v>0</v>
      </c>
      <c r="L215" s="43">
        <v>0</v>
      </c>
      <c r="M215" s="43">
        <v>0</v>
      </c>
      <c r="N215" s="43">
        <v>0</v>
      </c>
      <c r="O215" s="43">
        <v>0</v>
      </c>
      <c r="P215" s="45">
        <v>0</v>
      </c>
      <c r="Q215" s="45">
        <v>0</v>
      </c>
      <c r="R215" s="45">
        <v>0</v>
      </c>
      <c r="S215" s="45">
        <v>0</v>
      </c>
      <c r="T215" s="45">
        <v>0</v>
      </c>
      <c r="U215" s="45">
        <v>0</v>
      </c>
      <c r="V215" s="45">
        <v>0</v>
      </c>
      <c r="W215" s="45">
        <v>0</v>
      </c>
    </row>
    <row r="216" spans="1:23" hidden="1" x14ac:dyDescent="0.25">
      <c r="A216" s="43">
        <v>3592</v>
      </c>
      <c r="B216" s="43">
        <v>3901</v>
      </c>
      <c r="C216" s="43" t="s">
        <v>553</v>
      </c>
      <c r="D216" s="43" t="s">
        <v>554</v>
      </c>
      <c r="E216" s="43" t="s">
        <v>57</v>
      </c>
      <c r="F216" s="43" t="s">
        <v>548</v>
      </c>
      <c r="G216" s="44" t="str">
        <f>IF(LEN(Table12_52_03[[#This Row],[Ledger Code]])&gt;3,"AR"&amp;Table12_52_03[[#This Row],[Ledger Code]],"TBC")</f>
        <v>AR3901</v>
      </c>
      <c r="H216" s="43">
        <v>0</v>
      </c>
      <c r="I216" s="43">
        <v>0</v>
      </c>
      <c r="J216" s="43">
        <v>0</v>
      </c>
      <c r="K216" s="43">
        <v>0</v>
      </c>
      <c r="L216" s="43">
        <v>0</v>
      </c>
      <c r="M216" s="43">
        <v>0</v>
      </c>
      <c r="N216" s="43">
        <v>0</v>
      </c>
      <c r="O216" s="43">
        <v>0</v>
      </c>
      <c r="P216" s="45">
        <v>0</v>
      </c>
      <c r="Q216" s="45">
        <v>0</v>
      </c>
      <c r="R216" s="45">
        <v>0</v>
      </c>
      <c r="S216" s="45">
        <v>0</v>
      </c>
      <c r="T216" s="45">
        <v>0</v>
      </c>
      <c r="U216" s="45">
        <v>0</v>
      </c>
      <c r="V216" s="45">
        <v>0</v>
      </c>
      <c r="W216" s="45">
        <v>0</v>
      </c>
    </row>
    <row r="217" spans="1:23" hidden="1" x14ac:dyDescent="0.25">
      <c r="A217" s="43">
        <v>3706</v>
      </c>
      <c r="B217" s="43">
        <v>3916</v>
      </c>
      <c r="C217" s="43" t="s">
        <v>555</v>
      </c>
      <c r="D217" s="43" t="s">
        <v>556</v>
      </c>
      <c r="E217" s="43" t="s">
        <v>57</v>
      </c>
      <c r="F217" s="43" t="s">
        <v>548</v>
      </c>
      <c r="G217" s="44" t="str">
        <f>IF(LEN(Table12_52_03[[#This Row],[Ledger Code]])&gt;3,"AR"&amp;Table12_52_03[[#This Row],[Ledger Code]],"TBC")</f>
        <v>AR3916</v>
      </c>
      <c r="H217" s="43">
        <v>0</v>
      </c>
      <c r="I217" s="43">
        <v>0</v>
      </c>
      <c r="J217" s="43">
        <v>0</v>
      </c>
      <c r="K217" s="43">
        <v>0</v>
      </c>
      <c r="L217" s="43">
        <v>0</v>
      </c>
      <c r="M217" s="43">
        <v>0</v>
      </c>
      <c r="N217" s="43">
        <v>0</v>
      </c>
      <c r="O217" s="43">
        <v>0</v>
      </c>
      <c r="P217" s="45">
        <v>0</v>
      </c>
      <c r="Q217" s="45">
        <v>0</v>
      </c>
      <c r="R217" s="45">
        <v>0</v>
      </c>
      <c r="S217" s="45">
        <v>0</v>
      </c>
      <c r="T217" s="45">
        <v>0</v>
      </c>
      <c r="U217" s="45">
        <v>0</v>
      </c>
      <c r="V217" s="45">
        <v>0</v>
      </c>
      <c r="W217" s="45">
        <v>0</v>
      </c>
    </row>
    <row r="218" spans="1:23" hidden="1" x14ac:dyDescent="0.25">
      <c r="A218" s="43">
        <v>3718</v>
      </c>
      <c r="B218" s="43">
        <v>3965</v>
      </c>
      <c r="C218" s="43" t="s">
        <v>557</v>
      </c>
      <c r="D218" s="43" t="s">
        <v>558</v>
      </c>
      <c r="E218" s="43" t="s">
        <v>57</v>
      </c>
      <c r="F218" s="43" t="s">
        <v>548</v>
      </c>
      <c r="G218" s="44" t="str">
        <f>IF(LEN(Table12_52_03[[#This Row],[Ledger Code]])&gt;3,"AR"&amp;Table12_52_03[[#This Row],[Ledger Code]],"TBC")</f>
        <v>AR3965</v>
      </c>
      <c r="H218" s="43">
        <v>0</v>
      </c>
      <c r="I218" s="43">
        <v>0</v>
      </c>
      <c r="J218" s="43">
        <v>0</v>
      </c>
      <c r="K218" s="43">
        <v>0</v>
      </c>
      <c r="L218" s="43">
        <v>0</v>
      </c>
      <c r="M218" s="43">
        <v>0</v>
      </c>
      <c r="N218" s="43">
        <v>0</v>
      </c>
      <c r="O218" s="43">
        <v>0</v>
      </c>
      <c r="P218" s="45">
        <v>0</v>
      </c>
      <c r="Q218" s="45">
        <v>0</v>
      </c>
      <c r="R218" s="45">
        <v>0</v>
      </c>
      <c r="S218" s="45">
        <v>0</v>
      </c>
      <c r="T218" s="45">
        <v>0</v>
      </c>
      <c r="U218" s="45">
        <v>0</v>
      </c>
      <c r="V218" s="45">
        <v>0</v>
      </c>
      <c r="W218" s="45">
        <v>0</v>
      </c>
    </row>
    <row r="219" spans="1:23" hidden="1" x14ac:dyDescent="0.25">
      <c r="A219" s="43">
        <v>3775</v>
      </c>
      <c r="B219" s="43">
        <v>3876</v>
      </c>
      <c r="C219" s="43" t="s">
        <v>559</v>
      </c>
      <c r="D219" s="43" t="s">
        <v>560</v>
      </c>
      <c r="E219" s="43" t="s">
        <v>57</v>
      </c>
      <c r="F219" s="43" t="s">
        <v>548</v>
      </c>
      <c r="G219" s="44" t="str">
        <f>IF(LEN(Table12_52_03[[#This Row],[Ledger Code]])&gt;3,"AR"&amp;Table12_52_03[[#This Row],[Ledger Code]],"TBC")</f>
        <v>AR3876</v>
      </c>
      <c r="H219" s="43">
        <v>0</v>
      </c>
      <c r="I219" s="43">
        <v>0</v>
      </c>
      <c r="J219" s="43">
        <v>0</v>
      </c>
      <c r="K219" s="43">
        <v>0</v>
      </c>
      <c r="L219" s="43">
        <v>0</v>
      </c>
      <c r="M219" s="43">
        <v>0</v>
      </c>
      <c r="N219" s="43">
        <v>0</v>
      </c>
      <c r="O219" s="43">
        <v>0</v>
      </c>
      <c r="P219" s="45">
        <v>0</v>
      </c>
      <c r="Q219" s="45">
        <v>0</v>
      </c>
      <c r="R219" s="45">
        <v>0</v>
      </c>
      <c r="S219" s="45">
        <v>0</v>
      </c>
      <c r="T219" s="45">
        <v>0</v>
      </c>
      <c r="U219" s="45">
        <v>0</v>
      </c>
      <c r="V219" s="45">
        <v>0</v>
      </c>
      <c r="W219" s="45">
        <v>0</v>
      </c>
    </row>
    <row r="220" spans="1:23" hidden="1" x14ac:dyDescent="0.25">
      <c r="A220" s="43">
        <v>3765</v>
      </c>
      <c r="B220" s="43">
        <v>3868</v>
      </c>
      <c r="C220" s="43" t="s">
        <v>568</v>
      </c>
      <c r="D220" s="43" t="s">
        <v>569</v>
      </c>
      <c r="E220" s="43" t="s">
        <v>57</v>
      </c>
      <c r="F220" s="43" t="s">
        <v>548</v>
      </c>
      <c r="G220" s="44" t="str">
        <f>IF(LEN(Table12_52_03[[#This Row],[Ledger Code]])&gt;3,"AR"&amp;Table12_52_03[[#This Row],[Ledger Code]],"TBC")</f>
        <v>AR3868</v>
      </c>
      <c r="H220" s="43">
        <v>0</v>
      </c>
      <c r="I220" s="43">
        <v>0</v>
      </c>
      <c r="J220" s="43">
        <v>0</v>
      </c>
      <c r="K220" s="43">
        <v>0</v>
      </c>
      <c r="L220" s="43">
        <v>0</v>
      </c>
      <c r="M220" s="43">
        <v>0</v>
      </c>
      <c r="N220" s="43">
        <v>0</v>
      </c>
      <c r="O220" s="43">
        <v>0</v>
      </c>
      <c r="P220" s="45">
        <v>0</v>
      </c>
      <c r="Q220" s="45">
        <v>1040.9899999999998</v>
      </c>
      <c r="R220" s="45">
        <v>4641.1000000000004</v>
      </c>
      <c r="S220" s="45">
        <v>5720.21</v>
      </c>
      <c r="T220" s="45">
        <v>-1594.1499999999999</v>
      </c>
      <c r="U220" s="45">
        <v>1387.6299999999999</v>
      </c>
      <c r="V220" s="45">
        <v>1567.65</v>
      </c>
      <c r="W220" s="45">
        <v>2341.71</v>
      </c>
    </row>
    <row r="221" spans="1:23" hidden="1" x14ac:dyDescent="0.25">
      <c r="A221" s="43">
        <v>3086</v>
      </c>
      <c r="B221" s="43">
        <v>8443</v>
      </c>
      <c r="C221" s="43" t="s">
        <v>571</v>
      </c>
      <c r="D221" s="43" t="s">
        <v>572</v>
      </c>
      <c r="E221" s="43" t="s">
        <v>26</v>
      </c>
      <c r="F221" s="43" t="s">
        <v>573</v>
      </c>
      <c r="G221" s="44" t="str">
        <f>IF(LEN(Table12_52_03[[#This Row],[Ledger Code]])&gt;3,"AR"&amp;Table12_52_03[[#This Row],[Ledger Code]],"TBC")</f>
        <v>AR8443</v>
      </c>
      <c r="H221" s="43">
        <v>0</v>
      </c>
      <c r="I221" s="43">
        <v>0</v>
      </c>
      <c r="J221" s="43">
        <v>0</v>
      </c>
      <c r="K221" s="43">
        <v>0</v>
      </c>
      <c r="L221" s="43">
        <v>0</v>
      </c>
      <c r="M221" s="43">
        <v>0</v>
      </c>
      <c r="N221" s="43">
        <v>0</v>
      </c>
      <c r="O221" s="43">
        <v>0</v>
      </c>
      <c r="P221" s="45">
        <v>0</v>
      </c>
      <c r="Q221" s="45">
        <v>0</v>
      </c>
      <c r="R221" s="45">
        <v>0</v>
      </c>
      <c r="S221" s="45">
        <v>0</v>
      </c>
      <c r="T221" s="45">
        <v>0</v>
      </c>
      <c r="U221" s="45">
        <v>0</v>
      </c>
      <c r="V221" s="45">
        <v>0</v>
      </c>
      <c r="W221" s="45">
        <v>0</v>
      </c>
    </row>
    <row r="222" spans="1:23" hidden="1" x14ac:dyDescent="0.25">
      <c r="A222" s="43">
        <v>3105</v>
      </c>
      <c r="B222" s="43">
        <v>8461</v>
      </c>
      <c r="C222" s="43" t="s">
        <v>574</v>
      </c>
      <c r="D222" s="43" t="s">
        <v>575</v>
      </c>
      <c r="E222" s="43" t="s">
        <v>26</v>
      </c>
      <c r="F222" s="43" t="s">
        <v>573</v>
      </c>
      <c r="G222" s="44" t="str">
        <f>IF(LEN(Table12_52_03[[#This Row],[Ledger Code]])&gt;3,"AR"&amp;Table12_52_03[[#This Row],[Ledger Code]],"TBC")</f>
        <v>AR8461</v>
      </c>
      <c r="H222" s="43">
        <v>0</v>
      </c>
      <c r="I222" s="43">
        <v>0</v>
      </c>
      <c r="J222" s="43">
        <v>0</v>
      </c>
      <c r="K222" s="43">
        <v>0</v>
      </c>
      <c r="L222" s="43">
        <v>0</v>
      </c>
      <c r="M222" s="43">
        <v>0</v>
      </c>
      <c r="N222" s="43">
        <v>0</v>
      </c>
      <c r="O222" s="43">
        <v>0</v>
      </c>
      <c r="P222" s="45">
        <v>0</v>
      </c>
      <c r="Q222" s="45">
        <v>0</v>
      </c>
      <c r="R222" s="45">
        <v>0</v>
      </c>
      <c r="S222" s="45">
        <v>0</v>
      </c>
      <c r="T222" s="45">
        <v>0</v>
      </c>
      <c r="U222" s="45">
        <v>0</v>
      </c>
      <c r="V222" s="45">
        <v>0</v>
      </c>
      <c r="W222" s="45">
        <v>0</v>
      </c>
    </row>
    <row r="223" spans="1:23" hidden="1" x14ac:dyDescent="0.25">
      <c r="A223" s="43">
        <v>3117</v>
      </c>
      <c r="B223" s="43">
        <v>8564</v>
      </c>
      <c r="C223" s="43" t="s">
        <v>576</v>
      </c>
      <c r="D223" s="43" t="s">
        <v>577</v>
      </c>
      <c r="E223" s="43" t="s">
        <v>26</v>
      </c>
      <c r="F223" s="43" t="s">
        <v>573</v>
      </c>
      <c r="G223" s="44" t="str">
        <f>IF(LEN(Table12_52_03[[#This Row],[Ledger Code]])&gt;3,"AR"&amp;Table12_52_03[[#This Row],[Ledger Code]],"TBC")</f>
        <v>AR8564</v>
      </c>
      <c r="H223" s="43">
        <v>0</v>
      </c>
      <c r="I223" s="43">
        <v>0</v>
      </c>
      <c r="J223" s="43">
        <v>0</v>
      </c>
      <c r="K223" s="43">
        <v>0</v>
      </c>
      <c r="L223" s="43">
        <v>0</v>
      </c>
      <c r="M223" s="43">
        <v>0</v>
      </c>
      <c r="N223" s="43">
        <v>0</v>
      </c>
      <c r="O223" s="43">
        <v>0</v>
      </c>
      <c r="P223" s="45">
        <v>0</v>
      </c>
      <c r="Q223" s="45">
        <v>0</v>
      </c>
      <c r="R223" s="45">
        <v>0</v>
      </c>
      <c r="S223" s="45">
        <v>0</v>
      </c>
      <c r="T223" s="45">
        <v>0</v>
      </c>
      <c r="U223" s="45">
        <v>0</v>
      </c>
      <c r="V223" s="45">
        <v>0</v>
      </c>
      <c r="W223" s="45">
        <v>0</v>
      </c>
    </row>
    <row r="224" spans="1:23" hidden="1" x14ac:dyDescent="0.25">
      <c r="A224" s="43">
        <v>5132</v>
      </c>
      <c r="B224" s="43">
        <v>8618</v>
      </c>
      <c r="C224" s="43" t="s">
        <v>578</v>
      </c>
      <c r="D224" s="43" t="s">
        <v>579</v>
      </c>
      <c r="E224" s="43" t="s">
        <v>26</v>
      </c>
      <c r="F224" s="43" t="s">
        <v>573</v>
      </c>
      <c r="G224" s="44" t="str">
        <f>IF(LEN(Table12_52_03[[#This Row],[Ledger Code]])&gt;3,"AR"&amp;Table12_52_03[[#This Row],[Ledger Code]],"TBC")</f>
        <v>AR8618</v>
      </c>
      <c r="H224" s="43">
        <v>0</v>
      </c>
      <c r="I224" s="43">
        <v>0</v>
      </c>
      <c r="J224" s="43">
        <v>0</v>
      </c>
      <c r="K224" s="43">
        <v>0</v>
      </c>
      <c r="L224" s="43">
        <v>0</v>
      </c>
      <c r="M224" s="43">
        <v>0</v>
      </c>
      <c r="N224" s="43">
        <v>0</v>
      </c>
      <c r="O224" s="43">
        <v>0</v>
      </c>
      <c r="P224" s="45">
        <v>0</v>
      </c>
      <c r="Q224" s="45">
        <v>0</v>
      </c>
      <c r="R224" s="45">
        <v>0</v>
      </c>
      <c r="S224" s="45">
        <v>0</v>
      </c>
      <c r="T224" s="45">
        <v>0</v>
      </c>
      <c r="U224" s="45">
        <v>0</v>
      </c>
      <c r="V224" s="45">
        <v>0</v>
      </c>
      <c r="W224" s="45">
        <v>0</v>
      </c>
    </row>
    <row r="225" spans="1:23" hidden="1" x14ac:dyDescent="0.25">
      <c r="A225" s="43">
        <v>5141</v>
      </c>
      <c r="B225" s="43">
        <v>8661</v>
      </c>
      <c r="C225" s="43" t="s">
        <v>580</v>
      </c>
      <c r="D225" s="43" t="s">
        <v>581</v>
      </c>
      <c r="E225" s="43" t="s">
        <v>26</v>
      </c>
      <c r="F225" s="43" t="s">
        <v>573</v>
      </c>
      <c r="G225" s="44" t="str">
        <f>IF(LEN(Table12_52_03[[#This Row],[Ledger Code]])&gt;3,"AR"&amp;Table12_52_03[[#This Row],[Ledger Code]],"TBC")</f>
        <v>AR8661</v>
      </c>
      <c r="H225" s="43">
        <v>6181</v>
      </c>
      <c r="I225" s="43">
        <v>2864</v>
      </c>
      <c r="J225" s="43">
        <v>11494</v>
      </c>
      <c r="K225" s="43">
        <v>5716</v>
      </c>
      <c r="L225" s="43">
        <v>7120</v>
      </c>
      <c r="M225" s="43">
        <v>1464</v>
      </c>
      <c r="N225" s="43">
        <v>10054</v>
      </c>
      <c r="O225" s="43">
        <v>14146</v>
      </c>
      <c r="P225" s="45">
        <v>0</v>
      </c>
      <c r="Q225" s="45">
        <v>265.20999999999992</v>
      </c>
      <c r="R225" s="45">
        <v>183.9</v>
      </c>
      <c r="S225" s="45">
        <v>467.49999999999972</v>
      </c>
      <c r="T225" s="45">
        <v>182.32</v>
      </c>
      <c r="U225" s="45">
        <v>146.42999999999998</v>
      </c>
      <c r="V225" s="45">
        <v>301.14999999999998</v>
      </c>
      <c r="W225" s="45">
        <v>302.83000000000004</v>
      </c>
    </row>
    <row r="226" spans="1:23" hidden="1" x14ac:dyDescent="0.25">
      <c r="A226" s="43">
        <v>5176</v>
      </c>
      <c r="B226" s="43">
        <v>8688</v>
      </c>
      <c r="C226" s="43" t="s">
        <v>582</v>
      </c>
      <c r="D226" s="43" t="s">
        <v>583</v>
      </c>
      <c r="E226" s="43" t="s">
        <v>26</v>
      </c>
      <c r="F226" s="43" t="s">
        <v>573</v>
      </c>
      <c r="G226" s="44" t="str">
        <f>IF(LEN(Table12_52_03[[#This Row],[Ledger Code]])&gt;3,"AR"&amp;Table12_52_03[[#This Row],[Ledger Code]],"TBC")</f>
        <v>AR8688</v>
      </c>
      <c r="H226" s="43">
        <v>0</v>
      </c>
      <c r="I226" s="43">
        <v>0</v>
      </c>
      <c r="J226" s="43">
        <v>0</v>
      </c>
      <c r="K226" s="43">
        <v>0</v>
      </c>
      <c r="L226" s="43">
        <v>0</v>
      </c>
      <c r="M226" s="43">
        <v>0</v>
      </c>
      <c r="N226" s="43">
        <v>0</v>
      </c>
      <c r="O226" s="43">
        <v>0</v>
      </c>
      <c r="P226" s="45">
        <v>0</v>
      </c>
      <c r="Q226" s="45">
        <v>0</v>
      </c>
      <c r="R226" s="45">
        <v>0</v>
      </c>
      <c r="S226" s="45">
        <v>0</v>
      </c>
      <c r="T226" s="45">
        <v>0</v>
      </c>
      <c r="U226" s="45">
        <v>0</v>
      </c>
      <c r="V226" s="45">
        <v>0</v>
      </c>
      <c r="W226" s="45">
        <v>0</v>
      </c>
    </row>
    <row r="227" spans="1:23" hidden="1" x14ac:dyDescent="0.25">
      <c r="A227" s="43">
        <v>5301</v>
      </c>
      <c r="B227" s="43">
        <v>8897</v>
      </c>
      <c r="C227" s="43" t="s">
        <v>584</v>
      </c>
      <c r="D227" s="43" t="s">
        <v>585</v>
      </c>
      <c r="E227" s="43" t="s">
        <v>26</v>
      </c>
      <c r="F227" s="43" t="s">
        <v>570</v>
      </c>
      <c r="G227" s="44" t="str">
        <f>IF(LEN(Table12_52_03[[#This Row],[Ledger Code]])&gt;3,"AR"&amp;Table12_52_03[[#This Row],[Ledger Code]],"TBC")</f>
        <v>AR8897</v>
      </c>
      <c r="H227" s="43">
        <v>0</v>
      </c>
      <c r="I227" s="43">
        <v>0</v>
      </c>
      <c r="J227" s="43">
        <v>0</v>
      </c>
      <c r="K227" s="43">
        <v>0</v>
      </c>
      <c r="L227" s="43">
        <v>0</v>
      </c>
      <c r="M227" s="43">
        <v>0</v>
      </c>
      <c r="N227" s="43">
        <v>0</v>
      </c>
      <c r="O227" s="43">
        <v>0</v>
      </c>
      <c r="P227" s="45">
        <v>0</v>
      </c>
      <c r="Q227" s="45">
        <v>0</v>
      </c>
      <c r="R227" s="45">
        <v>0</v>
      </c>
      <c r="S227" s="45">
        <v>0</v>
      </c>
      <c r="T227" s="45">
        <v>0</v>
      </c>
      <c r="U227" s="45">
        <v>814.09999999999991</v>
      </c>
      <c r="V227" s="45">
        <v>0</v>
      </c>
      <c r="W227" s="45">
        <v>0</v>
      </c>
    </row>
    <row r="228" spans="1:23" hidden="1" x14ac:dyDescent="0.25">
      <c r="A228" s="43">
        <v>5226</v>
      </c>
      <c r="B228" s="43">
        <v>8743</v>
      </c>
      <c r="C228" s="43" t="s">
        <v>586</v>
      </c>
      <c r="D228" s="43" t="s">
        <v>587</v>
      </c>
      <c r="E228" s="43" t="s">
        <v>26</v>
      </c>
      <c r="F228" s="43" t="s">
        <v>573</v>
      </c>
      <c r="G228" s="44" t="str">
        <f>IF(LEN(Table12_52_03[[#This Row],[Ledger Code]])&gt;3,"AR"&amp;Table12_52_03[[#This Row],[Ledger Code]],"TBC")</f>
        <v>AR8743</v>
      </c>
      <c r="H228" s="43">
        <v>188404</v>
      </c>
      <c r="I228" s="43">
        <v>47269</v>
      </c>
      <c r="J228" s="43">
        <v>184742</v>
      </c>
      <c r="K228" s="43">
        <v>287079</v>
      </c>
      <c r="L228" s="43">
        <v>188841</v>
      </c>
      <c r="M228" s="43">
        <v>130488</v>
      </c>
      <c r="N228" s="43">
        <v>169741</v>
      </c>
      <c r="O228" s="43">
        <v>320937</v>
      </c>
      <c r="P228" s="45">
        <v>0</v>
      </c>
      <c r="Q228" s="45">
        <v>9469.3200000000015</v>
      </c>
      <c r="R228" s="45">
        <v>7039.58</v>
      </c>
      <c r="S228" s="45">
        <v>10273.159999999996</v>
      </c>
      <c r="T228" s="45">
        <v>6984.369999999999</v>
      </c>
      <c r="U228" s="45">
        <v>3882.0600000000013</v>
      </c>
      <c r="V228" s="45">
        <v>6374.9299999999994</v>
      </c>
      <c r="W228" s="45">
        <v>7338.98</v>
      </c>
    </row>
    <row r="229" spans="1:23" hidden="1" x14ac:dyDescent="0.25">
      <c r="A229" s="43">
        <v>5374</v>
      </c>
      <c r="B229" s="43">
        <v>8841</v>
      </c>
      <c r="C229" s="43" t="s">
        <v>588</v>
      </c>
      <c r="D229" s="43" t="s">
        <v>589</v>
      </c>
      <c r="E229" s="43" t="s">
        <v>26</v>
      </c>
      <c r="F229" s="43" t="s">
        <v>570</v>
      </c>
      <c r="G229" s="44" t="str">
        <f>IF(LEN(Table12_52_03[[#This Row],[Ledger Code]])&gt;3,"AR"&amp;Table12_52_03[[#This Row],[Ledger Code]],"TBC")</f>
        <v>AR8841</v>
      </c>
      <c r="H229" s="43">
        <v>2793</v>
      </c>
      <c r="I229" s="43">
        <v>88</v>
      </c>
      <c r="J229" s="43">
        <v>4369</v>
      </c>
      <c r="K229" s="43">
        <v>4379</v>
      </c>
      <c r="L229" s="43">
        <v>2100</v>
      </c>
      <c r="M229" s="43">
        <v>178</v>
      </c>
      <c r="N229" s="43">
        <v>2148</v>
      </c>
      <c r="O229" s="43">
        <v>3345</v>
      </c>
      <c r="P229" s="45">
        <v>0</v>
      </c>
      <c r="Q229" s="45">
        <v>472.45</v>
      </c>
      <c r="R229" s="45">
        <v>289.72000000000003</v>
      </c>
      <c r="S229" s="45">
        <v>549.16999999999996</v>
      </c>
      <c r="T229" s="45">
        <v>330.05999999999995</v>
      </c>
      <c r="U229" s="45">
        <v>163.72999999999996</v>
      </c>
      <c r="V229" s="45">
        <v>257.09999999999997</v>
      </c>
      <c r="W229" s="45">
        <v>265.81</v>
      </c>
    </row>
    <row r="230" spans="1:23" hidden="1" x14ac:dyDescent="0.25">
      <c r="A230" s="43">
        <v>5408</v>
      </c>
      <c r="B230" s="43">
        <v>9108</v>
      </c>
      <c r="C230" s="43" t="s">
        <v>590</v>
      </c>
      <c r="D230" s="43" t="s">
        <v>591</v>
      </c>
      <c r="E230" s="43" t="s">
        <v>26</v>
      </c>
      <c r="F230" s="43" t="s">
        <v>592</v>
      </c>
      <c r="G230" s="44" t="str">
        <f>IF(LEN(Table12_52_03[[#This Row],[Ledger Code]])&gt;3,"AR"&amp;Table12_52_03[[#This Row],[Ledger Code]],"TBC")</f>
        <v>AR9108</v>
      </c>
      <c r="H230" s="43">
        <v>2346</v>
      </c>
      <c r="I230" s="43">
        <v>199</v>
      </c>
      <c r="J230" s="43">
        <v>2539</v>
      </c>
      <c r="K230" s="43">
        <v>4751</v>
      </c>
      <c r="L230" s="43">
        <v>1512</v>
      </c>
      <c r="M230" s="43">
        <v>401</v>
      </c>
      <c r="N230" s="43">
        <v>2826</v>
      </c>
      <c r="O230" s="43">
        <v>3200</v>
      </c>
      <c r="P230" s="45">
        <v>0</v>
      </c>
      <c r="Q230" s="45">
        <v>121.17</v>
      </c>
      <c r="R230" s="45">
        <v>73.16</v>
      </c>
      <c r="S230" s="45">
        <v>134.94</v>
      </c>
      <c r="T230" s="45">
        <v>120.00999999999999</v>
      </c>
      <c r="U230" s="45">
        <v>42.85</v>
      </c>
      <c r="V230" s="45">
        <v>63.089999999999989</v>
      </c>
      <c r="W230" s="45">
        <v>104.9</v>
      </c>
    </row>
    <row r="231" spans="1:23" hidden="1" x14ac:dyDescent="0.25">
      <c r="A231" s="43">
        <v>5459</v>
      </c>
      <c r="B231" s="43">
        <v>9105</v>
      </c>
      <c r="C231" s="43" t="s">
        <v>593</v>
      </c>
      <c r="D231" s="43" t="s">
        <v>594</v>
      </c>
      <c r="E231" s="43" t="s">
        <v>26</v>
      </c>
      <c r="F231" s="43" t="s">
        <v>592</v>
      </c>
      <c r="G231" s="44" t="str">
        <f>IF(LEN(Table12_52_03[[#This Row],[Ledger Code]])&gt;3,"AR"&amp;Table12_52_03[[#This Row],[Ledger Code]],"TBC")</f>
        <v>AR9105</v>
      </c>
      <c r="H231" s="43">
        <v>0</v>
      </c>
      <c r="I231" s="43">
        <v>0</v>
      </c>
      <c r="J231" s="43">
        <v>0</v>
      </c>
      <c r="K231" s="43">
        <v>0</v>
      </c>
      <c r="L231" s="43">
        <v>0</v>
      </c>
      <c r="M231" s="43">
        <v>0</v>
      </c>
      <c r="N231" s="43">
        <v>0</v>
      </c>
      <c r="O231" s="43">
        <v>0</v>
      </c>
      <c r="P231" s="45">
        <v>0</v>
      </c>
      <c r="Q231" s="45">
        <v>0</v>
      </c>
      <c r="R231" s="45">
        <v>0</v>
      </c>
      <c r="S231" s="45">
        <v>0</v>
      </c>
      <c r="T231" s="45">
        <v>0</v>
      </c>
      <c r="U231" s="45">
        <v>0</v>
      </c>
      <c r="V231" s="45">
        <v>0</v>
      </c>
      <c r="W231" s="45">
        <v>0</v>
      </c>
    </row>
    <row r="232" spans="1:23" hidden="1" x14ac:dyDescent="0.25">
      <c r="A232" s="43">
        <v>5494</v>
      </c>
      <c r="B232" s="43">
        <v>9114</v>
      </c>
      <c r="C232" s="43" t="s">
        <v>595</v>
      </c>
      <c r="D232" s="43" t="s">
        <v>596</v>
      </c>
      <c r="E232" s="43" t="s">
        <v>26</v>
      </c>
      <c r="F232" s="43" t="s">
        <v>592</v>
      </c>
      <c r="G232" s="44" t="str">
        <f>IF(LEN(Table12_52_03[[#This Row],[Ledger Code]])&gt;3,"AR"&amp;Table12_52_03[[#This Row],[Ledger Code]],"TBC")</f>
        <v>AR9114</v>
      </c>
      <c r="H232" s="43">
        <v>0</v>
      </c>
      <c r="I232" s="43">
        <v>0</v>
      </c>
      <c r="J232" s="43">
        <v>0</v>
      </c>
      <c r="K232" s="43">
        <v>0</v>
      </c>
      <c r="L232" s="43">
        <v>0</v>
      </c>
      <c r="M232" s="43">
        <v>0</v>
      </c>
      <c r="N232" s="43">
        <v>0</v>
      </c>
      <c r="O232" s="43">
        <v>0</v>
      </c>
      <c r="P232" s="45">
        <v>0</v>
      </c>
      <c r="Q232" s="45">
        <v>0</v>
      </c>
      <c r="R232" s="45">
        <v>0</v>
      </c>
      <c r="S232" s="45">
        <v>0</v>
      </c>
      <c r="T232" s="45">
        <v>0</v>
      </c>
      <c r="U232" s="45">
        <v>0</v>
      </c>
      <c r="V232" s="45">
        <v>0</v>
      </c>
      <c r="W232" s="45">
        <v>0</v>
      </c>
    </row>
    <row r="233" spans="1:23" hidden="1" x14ac:dyDescent="0.25">
      <c r="A233" s="43">
        <v>5564</v>
      </c>
      <c r="B233" s="43">
        <v>8926</v>
      </c>
      <c r="C233" s="43" t="s">
        <v>597</v>
      </c>
      <c r="D233" s="43" t="s">
        <v>598</v>
      </c>
      <c r="E233" s="43" t="s">
        <v>26</v>
      </c>
      <c r="F233" s="43" t="s">
        <v>592</v>
      </c>
      <c r="G233" s="44" t="str">
        <f>IF(LEN(Table12_52_03[[#This Row],[Ledger Code]])&gt;3,"AR"&amp;Table12_52_03[[#This Row],[Ledger Code]],"TBC")</f>
        <v>AR8926</v>
      </c>
      <c r="H233" s="43">
        <v>0</v>
      </c>
      <c r="I233" s="43">
        <v>0</v>
      </c>
      <c r="J233" s="43">
        <v>0</v>
      </c>
      <c r="K233" s="43">
        <v>0</v>
      </c>
      <c r="L233" s="43">
        <v>0</v>
      </c>
      <c r="M233" s="43">
        <v>0</v>
      </c>
      <c r="N233" s="43">
        <v>0</v>
      </c>
      <c r="O233" s="43">
        <v>0</v>
      </c>
      <c r="P233" s="45">
        <v>0</v>
      </c>
      <c r="Q233" s="45">
        <v>0</v>
      </c>
      <c r="R233" s="45">
        <v>0</v>
      </c>
      <c r="S233" s="45">
        <v>0</v>
      </c>
      <c r="T233" s="45">
        <v>0</v>
      </c>
      <c r="U233" s="45">
        <v>0</v>
      </c>
      <c r="V233" s="45">
        <v>0</v>
      </c>
      <c r="W233" s="45">
        <v>0</v>
      </c>
    </row>
    <row r="234" spans="1:23" hidden="1" x14ac:dyDescent="0.25">
      <c r="A234" s="43">
        <v>5569</v>
      </c>
      <c r="B234" s="43">
        <v>9051</v>
      </c>
      <c r="C234" s="43" t="s">
        <v>599</v>
      </c>
      <c r="D234" s="43" t="s">
        <v>600</v>
      </c>
      <c r="E234" s="43" t="s">
        <v>26</v>
      </c>
      <c r="F234" s="43" t="s">
        <v>592</v>
      </c>
      <c r="G234" s="44" t="str">
        <f>IF(LEN(Table12_52_03[[#This Row],[Ledger Code]])&gt;3,"AR"&amp;Table12_52_03[[#This Row],[Ledger Code]],"TBC")</f>
        <v>AR9051</v>
      </c>
      <c r="H234" s="43">
        <v>0</v>
      </c>
      <c r="I234" s="43">
        <v>0</v>
      </c>
      <c r="J234" s="43">
        <v>0</v>
      </c>
      <c r="K234" s="43">
        <v>0</v>
      </c>
      <c r="L234" s="43">
        <v>0</v>
      </c>
      <c r="M234" s="43">
        <v>0</v>
      </c>
      <c r="N234" s="43">
        <v>0</v>
      </c>
      <c r="O234" s="43">
        <v>0</v>
      </c>
      <c r="P234" s="45">
        <v>0</v>
      </c>
      <c r="Q234" s="45">
        <v>427.76</v>
      </c>
      <c r="R234" s="45">
        <v>213.88</v>
      </c>
      <c r="S234" s="45">
        <v>197.27</v>
      </c>
      <c r="T234" s="45">
        <v>485.35000000000008</v>
      </c>
      <c r="U234" s="45">
        <v>0</v>
      </c>
      <c r="V234" s="45">
        <v>197.27</v>
      </c>
      <c r="W234" s="45">
        <v>0</v>
      </c>
    </row>
    <row r="235" spans="1:23" hidden="1" x14ac:dyDescent="0.25">
      <c r="A235" s="43">
        <v>5440</v>
      </c>
      <c r="B235" s="43">
        <v>9051</v>
      </c>
      <c r="C235" s="43" t="s">
        <v>599</v>
      </c>
      <c r="D235" s="43" t="s">
        <v>600</v>
      </c>
      <c r="E235" s="43" t="s">
        <v>26</v>
      </c>
      <c r="F235" s="43" t="s">
        <v>592</v>
      </c>
      <c r="G235" s="44" t="str">
        <f>IF(LEN(Table12_52_03[[#This Row],[Ledger Code]])&gt;3,"AR"&amp;Table12_52_03[[#This Row],[Ledger Code]],"TBC")</f>
        <v>AR9051</v>
      </c>
      <c r="H235" s="43">
        <v>0</v>
      </c>
      <c r="I235" s="43">
        <v>0</v>
      </c>
      <c r="J235" s="43">
        <v>0</v>
      </c>
      <c r="K235" s="43">
        <v>0</v>
      </c>
      <c r="L235" s="43">
        <v>0</v>
      </c>
      <c r="M235" s="43">
        <v>0</v>
      </c>
      <c r="N235" s="43">
        <v>0</v>
      </c>
      <c r="O235" s="43">
        <v>0</v>
      </c>
      <c r="P235" s="45">
        <v>0</v>
      </c>
      <c r="Q235" s="45">
        <v>427.76</v>
      </c>
      <c r="R235" s="45">
        <v>213.88</v>
      </c>
      <c r="S235" s="45">
        <v>197.27</v>
      </c>
      <c r="T235" s="45">
        <v>485.35000000000008</v>
      </c>
      <c r="U235" s="45">
        <v>0</v>
      </c>
      <c r="V235" s="45">
        <v>197.27</v>
      </c>
      <c r="W235" s="45">
        <v>0</v>
      </c>
    </row>
    <row r="236" spans="1:23" hidden="1" x14ac:dyDescent="0.25">
      <c r="A236" s="43">
        <v>5573</v>
      </c>
      <c r="B236" s="43">
        <v>9051</v>
      </c>
      <c r="C236" s="43" t="s">
        <v>599</v>
      </c>
      <c r="D236" s="43" t="s">
        <v>600</v>
      </c>
      <c r="E236" s="43" t="s">
        <v>26</v>
      </c>
      <c r="F236" s="43" t="s">
        <v>592</v>
      </c>
      <c r="G236" s="44" t="str">
        <f>IF(LEN(Table12_52_03[[#This Row],[Ledger Code]])&gt;3,"AR"&amp;Table12_52_03[[#This Row],[Ledger Code]],"TBC")</f>
        <v>AR9051</v>
      </c>
      <c r="H236" s="43">
        <v>0</v>
      </c>
      <c r="I236" s="43">
        <v>0</v>
      </c>
      <c r="J236" s="43">
        <v>0</v>
      </c>
      <c r="K236" s="43">
        <v>0</v>
      </c>
      <c r="L236" s="43">
        <v>0</v>
      </c>
      <c r="M236" s="43">
        <v>0</v>
      </c>
      <c r="N236" s="43">
        <v>0</v>
      </c>
      <c r="O236" s="43">
        <v>0</v>
      </c>
      <c r="P236" s="45">
        <v>0</v>
      </c>
      <c r="Q236" s="45">
        <v>427.76</v>
      </c>
      <c r="R236" s="45">
        <v>213.88</v>
      </c>
      <c r="S236" s="45">
        <v>197.27</v>
      </c>
      <c r="T236" s="45">
        <v>485.35000000000008</v>
      </c>
      <c r="U236" s="45">
        <v>0</v>
      </c>
      <c r="V236" s="45">
        <v>197.27</v>
      </c>
      <c r="W236" s="45">
        <v>0</v>
      </c>
    </row>
    <row r="237" spans="1:23" hidden="1" x14ac:dyDescent="0.25">
      <c r="A237" s="43">
        <v>5575</v>
      </c>
      <c r="B237" s="43">
        <v>9051</v>
      </c>
      <c r="C237" s="43" t="s">
        <v>599</v>
      </c>
      <c r="D237" s="43" t="s">
        <v>600</v>
      </c>
      <c r="E237" s="43" t="s">
        <v>26</v>
      </c>
      <c r="F237" s="43" t="s">
        <v>592</v>
      </c>
      <c r="G237" s="44" t="str">
        <f>IF(LEN(Table12_52_03[[#This Row],[Ledger Code]])&gt;3,"AR"&amp;Table12_52_03[[#This Row],[Ledger Code]],"TBC")</f>
        <v>AR9051</v>
      </c>
      <c r="H237" s="43">
        <v>0</v>
      </c>
      <c r="I237" s="43">
        <v>0</v>
      </c>
      <c r="J237" s="43">
        <v>0</v>
      </c>
      <c r="K237" s="43">
        <v>0</v>
      </c>
      <c r="L237" s="43">
        <v>0</v>
      </c>
      <c r="M237" s="43">
        <v>0</v>
      </c>
      <c r="N237" s="43">
        <v>0</v>
      </c>
      <c r="O237" s="43">
        <v>0</v>
      </c>
      <c r="P237" s="45">
        <v>0</v>
      </c>
      <c r="Q237" s="45">
        <v>427.76</v>
      </c>
      <c r="R237" s="45">
        <v>213.88</v>
      </c>
      <c r="S237" s="45">
        <v>197.27</v>
      </c>
      <c r="T237" s="45">
        <v>485.35000000000008</v>
      </c>
      <c r="U237" s="45">
        <v>0</v>
      </c>
      <c r="V237" s="45">
        <v>197.27</v>
      </c>
      <c r="W237" s="45">
        <v>0</v>
      </c>
    </row>
    <row r="238" spans="1:23" hidden="1" x14ac:dyDescent="0.25">
      <c r="A238" s="43">
        <v>5571</v>
      </c>
      <c r="B238" s="43">
        <v>9046</v>
      </c>
      <c r="C238" s="43" t="s">
        <v>601</v>
      </c>
      <c r="D238" s="43" t="s">
        <v>602</v>
      </c>
      <c r="E238" s="43" t="s">
        <v>26</v>
      </c>
      <c r="F238" s="43" t="s">
        <v>592</v>
      </c>
      <c r="G238" s="44" t="str">
        <f>IF(LEN(Table12_52_03[[#This Row],[Ledger Code]])&gt;3,"AR"&amp;Table12_52_03[[#This Row],[Ledger Code]],"TBC")</f>
        <v>AR9046</v>
      </c>
      <c r="H238" s="43">
        <v>0</v>
      </c>
      <c r="I238" s="43">
        <v>0</v>
      </c>
      <c r="J238" s="43">
        <v>0</v>
      </c>
      <c r="K238" s="43">
        <v>0</v>
      </c>
      <c r="L238" s="43">
        <v>0</v>
      </c>
      <c r="M238" s="43">
        <v>0</v>
      </c>
      <c r="N238" s="43">
        <v>0</v>
      </c>
      <c r="O238" s="43">
        <v>0</v>
      </c>
      <c r="P238" s="45">
        <v>0</v>
      </c>
      <c r="Q238" s="45">
        <v>0</v>
      </c>
      <c r="R238" s="45">
        <v>0</v>
      </c>
      <c r="S238" s="45">
        <v>0</v>
      </c>
      <c r="T238" s="45">
        <v>0</v>
      </c>
      <c r="U238" s="45">
        <v>0</v>
      </c>
      <c r="V238" s="45">
        <v>0</v>
      </c>
      <c r="W238" s="45">
        <v>0</v>
      </c>
    </row>
    <row r="239" spans="1:23" hidden="1" x14ac:dyDescent="0.25">
      <c r="A239" s="43">
        <v>5373</v>
      </c>
      <c r="B239" s="43">
        <v>8840</v>
      </c>
      <c r="C239" s="43" t="s">
        <v>603</v>
      </c>
      <c r="D239" s="43" t="s">
        <v>604</v>
      </c>
      <c r="E239" s="43" t="s">
        <v>26</v>
      </c>
      <c r="F239" s="43" t="s">
        <v>570</v>
      </c>
      <c r="G239" s="44" t="str">
        <f>IF(LEN(Table12_52_03[[#This Row],[Ledger Code]])&gt;3,"AR"&amp;Table12_52_03[[#This Row],[Ledger Code]],"TBC")</f>
        <v>AR8840</v>
      </c>
      <c r="H239" s="43">
        <v>0</v>
      </c>
      <c r="I239" s="43">
        <v>0</v>
      </c>
      <c r="J239" s="43">
        <v>0</v>
      </c>
      <c r="K239" s="43">
        <v>0</v>
      </c>
      <c r="L239" s="43">
        <v>0</v>
      </c>
      <c r="M239" s="43">
        <v>0</v>
      </c>
      <c r="N239" s="43">
        <v>0</v>
      </c>
      <c r="O239" s="43">
        <v>0</v>
      </c>
      <c r="P239" s="45">
        <v>0</v>
      </c>
      <c r="Q239" s="45">
        <v>0</v>
      </c>
      <c r="R239" s="45">
        <v>0</v>
      </c>
      <c r="S239" s="45">
        <v>0</v>
      </c>
      <c r="T239" s="45">
        <v>0</v>
      </c>
      <c r="U239" s="45">
        <v>0</v>
      </c>
      <c r="V239" s="45">
        <v>0</v>
      </c>
      <c r="W239" s="45">
        <v>0</v>
      </c>
    </row>
    <row r="240" spans="1:23" hidden="1" x14ac:dyDescent="0.25">
      <c r="A240" s="43">
        <v>1463</v>
      </c>
      <c r="B240" s="43">
        <v>8252</v>
      </c>
      <c r="C240" s="43" t="s">
        <v>606</v>
      </c>
      <c r="D240" s="43" t="s">
        <v>607</v>
      </c>
      <c r="E240" s="43" t="s">
        <v>26</v>
      </c>
      <c r="F240" s="43" t="s">
        <v>605</v>
      </c>
      <c r="G240" s="44" t="str">
        <f>IF(LEN(Table12_52_03[[#This Row],[Ledger Code]])&gt;3,"AR"&amp;Table12_52_03[[#This Row],[Ledger Code]],"TBC")</f>
        <v>AR8252</v>
      </c>
      <c r="H240" s="43">
        <v>16574</v>
      </c>
      <c r="I240" s="43">
        <v>5105</v>
      </c>
      <c r="J240" s="43">
        <v>15384</v>
      </c>
      <c r="K240" s="43">
        <v>30623</v>
      </c>
      <c r="L240" s="43">
        <v>17182</v>
      </c>
      <c r="M240" s="43">
        <v>6486</v>
      </c>
      <c r="N240" s="43">
        <v>13776</v>
      </c>
      <c r="O240" s="43">
        <v>78187</v>
      </c>
      <c r="P240" s="45">
        <v>0</v>
      </c>
      <c r="Q240" s="45">
        <v>994.2</v>
      </c>
      <c r="R240" s="45">
        <v>669.68000000000006</v>
      </c>
      <c r="S240" s="45">
        <v>1212.71</v>
      </c>
      <c r="T240" s="45">
        <v>833.86999999999989</v>
      </c>
      <c r="U240" s="45">
        <v>327.45999999999998</v>
      </c>
      <c r="V240" s="45">
        <v>610.02</v>
      </c>
      <c r="W240" s="45">
        <v>2119.9899999999998</v>
      </c>
    </row>
    <row r="241" spans="1:23" hidden="1" x14ac:dyDescent="0.25">
      <c r="A241" s="43">
        <v>1487</v>
      </c>
      <c r="B241" s="43">
        <v>8256</v>
      </c>
      <c r="C241" s="43" t="s">
        <v>608</v>
      </c>
      <c r="D241" s="43" t="s">
        <v>609</v>
      </c>
      <c r="E241" s="43" t="s">
        <v>26</v>
      </c>
      <c r="F241" s="43" t="s">
        <v>605</v>
      </c>
      <c r="G241" s="44" t="str">
        <f>IF(LEN(Table12_52_03[[#This Row],[Ledger Code]])&gt;3,"AR"&amp;Table12_52_03[[#This Row],[Ledger Code]],"TBC")</f>
        <v>AR8256</v>
      </c>
      <c r="H241" s="43">
        <v>0</v>
      </c>
      <c r="I241" s="43">
        <v>0</v>
      </c>
      <c r="J241" s="43">
        <v>0</v>
      </c>
      <c r="K241" s="43">
        <v>0</v>
      </c>
      <c r="L241" s="43">
        <v>0</v>
      </c>
      <c r="M241" s="43">
        <v>0</v>
      </c>
      <c r="N241" s="43">
        <v>0</v>
      </c>
      <c r="O241" s="43">
        <v>0</v>
      </c>
      <c r="P241" s="45">
        <v>0</v>
      </c>
      <c r="Q241" s="45">
        <v>664</v>
      </c>
      <c r="R241" s="45">
        <v>-664</v>
      </c>
      <c r="S241" s="45">
        <v>0</v>
      </c>
      <c r="T241" s="45">
        <v>0</v>
      </c>
      <c r="U241" s="45">
        <v>0</v>
      </c>
      <c r="V241" s="45">
        <v>0</v>
      </c>
      <c r="W241" s="45">
        <v>0</v>
      </c>
    </row>
    <row r="242" spans="1:23" hidden="1" x14ac:dyDescent="0.25">
      <c r="A242" s="43">
        <v>1565</v>
      </c>
      <c r="B242" s="43">
        <v>8283</v>
      </c>
      <c r="C242" s="43" t="s">
        <v>610</v>
      </c>
      <c r="D242" s="43" t="s">
        <v>611</v>
      </c>
      <c r="E242" s="43" t="s">
        <v>26</v>
      </c>
      <c r="F242" s="43" t="s">
        <v>605</v>
      </c>
      <c r="G242" s="44" t="str">
        <f>IF(LEN(Table12_52_03[[#This Row],[Ledger Code]])&gt;3,"AR"&amp;Table12_52_03[[#This Row],[Ledger Code]],"TBC")</f>
        <v>AR8283</v>
      </c>
      <c r="H242" s="43">
        <v>0</v>
      </c>
      <c r="I242" s="43">
        <v>0</v>
      </c>
      <c r="J242" s="43">
        <v>0</v>
      </c>
      <c r="K242" s="43">
        <v>0</v>
      </c>
      <c r="L242" s="43">
        <v>0</v>
      </c>
      <c r="M242" s="43">
        <v>0</v>
      </c>
      <c r="N242" s="43">
        <v>0</v>
      </c>
      <c r="O242" s="43">
        <v>0</v>
      </c>
      <c r="P242" s="45">
        <v>0</v>
      </c>
      <c r="Q242" s="45">
        <v>0</v>
      </c>
      <c r="R242" s="45">
        <v>0</v>
      </c>
      <c r="S242" s="45">
        <v>0</v>
      </c>
      <c r="T242" s="45">
        <v>0</v>
      </c>
      <c r="U242" s="45">
        <v>0</v>
      </c>
      <c r="V242" s="45">
        <v>0</v>
      </c>
      <c r="W242" s="45">
        <v>0</v>
      </c>
    </row>
    <row r="243" spans="1:23" hidden="1" x14ac:dyDescent="0.25">
      <c r="A243" s="43">
        <v>1620</v>
      </c>
      <c r="B243" s="43">
        <v>8228</v>
      </c>
      <c r="C243" s="43" t="s">
        <v>612</v>
      </c>
      <c r="D243" s="43" t="s">
        <v>613</v>
      </c>
      <c r="E243" s="43" t="s">
        <v>26</v>
      </c>
      <c r="F243" s="43" t="s">
        <v>605</v>
      </c>
      <c r="G243" s="44" t="str">
        <f>IF(LEN(Table12_52_03[[#This Row],[Ledger Code]])&gt;3,"AR"&amp;Table12_52_03[[#This Row],[Ledger Code]],"TBC")</f>
        <v>AR8228</v>
      </c>
      <c r="H243" s="43">
        <v>0</v>
      </c>
      <c r="I243" s="43">
        <v>0</v>
      </c>
      <c r="J243" s="43">
        <v>0</v>
      </c>
      <c r="K243" s="43">
        <v>0</v>
      </c>
      <c r="L243" s="43">
        <v>0</v>
      </c>
      <c r="M243" s="43">
        <v>0</v>
      </c>
      <c r="N243" s="43">
        <v>0</v>
      </c>
      <c r="O243" s="43">
        <v>0</v>
      </c>
      <c r="P243" s="45">
        <v>0</v>
      </c>
      <c r="Q243" s="45">
        <v>0</v>
      </c>
      <c r="R243" s="45">
        <v>0</v>
      </c>
      <c r="S243" s="45">
        <v>0</v>
      </c>
      <c r="T243" s="45">
        <v>0</v>
      </c>
      <c r="U243" s="45">
        <v>0</v>
      </c>
      <c r="V243" s="45">
        <v>0</v>
      </c>
      <c r="W243" s="45">
        <v>0</v>
      </c>
    </row>
    <row r="244" spans="1:23" hidden="1" x14ac:dyDescent="0.25">
      <c r="A244" s="43">
        <v>1621</v>
      </c>
      <c r="B244" s="43">
        <v>8229</v>
      </c>
      <c r="C244" s="43" t="s">
        <v>614</v>
      </c>
      <c r="D244" s="43" t="s">
        <v>615</v>
      </c>
      <c r="E244" s="43" t="s">
        <v>26</v>
      </c>
      <c r="F244" s="43" t="s">
        <v>605</v>
      </c>
      <c r="G244" s="44" t="str">
        <f>IF(LEN(Table12_52_03[[#This Row],[Ledger Code]])&gt;3,"AR"&amp;Table12_52_03[[#This Row],[Ledger Code]],"TBC")</f>
        <v>AR8229</v>
      </c>
      <c r="H244" s="43">
        <v>0</v>
      </c>
      <c r="I244" s="43">
        <v>0</v>
      </c>
      <c r="J244" s="43">
        <v>0</v>
      </c>
      <c r="K244" s="43">
        <v>0</v>
      </c>
      <c r="L244" s="43">
        <v>0</v>
      </c>
      <c r="M244" s="43">
        <v>0</v>
      </c>
      <c r="N244" s="43">
        <v>0</v>
      </c>
      <c r="O244" s="43">
        <v>0</v>
      </c>
      <c r="P244" s="45">
        <v>0</v>
      </c>
      <c r="Q244" s="45">
        <v>0</v>
      </c>
      <c r="R244" s="45">
        <v>0</v>
      </c>
      <c r="S244" s="45">
        <v>0</v>
      </c>
      <c r="T244" s="45">
        <v>0</v>
      </c>
      <c r="U244" s="45">
        <v>0</v>
      </c>
      <c r="V244" s="45">
        <v>0</v>
      </c>
      <c r="W244" s="45">
        <v>0</v>
      </c>
    </row>
    <row r="245" spans="1:23" hidden="1" x14ac:dyDescent="0.25">
      <c r="A245" s="43">
        <v>1630</v>
      </c>
      <c r="B245" s="43">
        <v>8241</v>
      </c>
      <c r="C245" s="43" t="s">
        <v>616</v>
      </c>
      <c r="D245" s="43" t="s">
        <v>617</v>
      </c>
      <c r="E245" s="43" t="s">
        <v>26</v>
      </c>
      <c r="F245" s="43" t="s">
        <v>605</v>
      </c>
      <c r="G245" s="44" t="str">
        <f>IF(LEN(Table12_52_03[[#This Row],[Ledger Code]])&gt;3,"AR"&amp;Table12_52_03[[#This Row],[Ledger Code]],"TBC")</f>
        <v>AR8241</v>
      </c>
      <c r="H245" s="43">
        <v>0</v>
      </c>
      <c r="I245" s="43">
        <v>0</v>
      </c>
      <c r="J245" s="43">
        <v>0</v>
      </c>
      <c r="K245" s="43">
        <v>0</v>
      </c>
      <c r="L245" s="43">
        <v>0</v>
      </c>
      <c r="M245" s="43">
        <v>0</v>
      </c>
      <c r="N245" s="43">
        <v>0</v>
      </c>
      <c r="O245" s="43">
        <v>0</v>
      </c>
      <c r="P245" s="45">
        <v>0</v>
      </c>
      <c r="Q245" s="45">
        <v>0</v>
      </c>
      <c r="R245" s="45">
        <v>0</v>
      </c>
      <c r="S245" s="45">
        <v>0</v>
      </c>
      <c r="T245" s="45">
        <v>0</v>
      </c>
      <c r="U245" s="45">
        <v>0</v>
      </c>
      <c r="V245" s="45">
        <v>0</v>
      </c>
      <c r="W245" s="45">
        <v>0</v>
      </c>
    </row>
    <row r="246" spans="1:23" hidden="1" x14ac:dyDescent="0.25">
      <c r="A246" s="43">
        <v>1566</v>
      </c>
      <c r="B246" s="43">
        <v>8284</v>
      </c>
      <c r="C246" s="43" t="s">
        <v>618</v>
      </c>
      <c r="D246" s="43" t="s">
        <v>619</v>
      </c>
      <c r="E246" s="43" t="s">
        <v>26</v>
      </c>
      <c r="F246" s="43" t="s">
        <v>605</v>
      </c>
      <c r="G246" s="44" t="str">
        <f>IF(LEN(Table12_52_03[[#This Row],[Ledger Code]])&gt;3,"AR"&amp;Table12_52_03[[#This Row],[Ledger Code]],"TBC")</f>
        <v>AR8284</v>
      </c>
      <c r="H246" s="43">
        <v>0</v>
      </c>
      <c r="I246" s="43">
        <v>0</v>
      </c>
      <c r="J246" s="43">
        <v>0</v>
      </c>
      <c r="K246" s="43">
        <v>0</v>
      </c>
      <c r="L246" s="43">
        <v>0</v>
      </c>
      <c r="M246" s="43">
        <v>0</v>
      </c>
      <c r="N246" s="43">
        <v>0</v>
      </c>
      <c r="O246" s="43">
        <v>0</v>
      </c>
      <c r="P246" s="45">
        <v>0</v>
      </c>
      <c r="Q246" s="45">
        <v>0</v>
      </c>
      <c r="R246" s="45">
        <v>0</v>
      </c>
      <c r="S246" s="45">
        <v>0</v>
      </c>
      <c r="T246" s="45">
        <v>0</v>
      </c>
      <c r="U246" s="45">
        <v>0</v>
      </c>
      <c r="V246" s="45">
        <v>0</v>
      </c>
      <c r="W246" s="45">
        <v>0</v>
      </c>
    </row>
    <row r="247" spans="1:23" hidden="1" x14ac:dyDescent="0.25">
      <c r="A247" s="43">
        <v>5522</v>
      </c>
      <c r="B247" s="43">
        <v>8981</v>
      </c>
      <c r="C247" s="43" t="s">
        <v>620</v>
      </c>
      <c r="D247" s="43" t="s">
        <v>621</v>
      </c>
      <c r="E247" s="43" t="s">
        <v>26</v>
      </c>
      <c r="F247" s="43" t="s">
        <v>592</v>
      </c>
      <c r="G247" s="44" t="str">
        <f>IF(LEN(Table12_52_03[[#This Row],[Ledger Code]])&gt;3,"AR"&amp;Table12_52_03[[#This Row],[Ledger Code]],"TBC")</f>
        <v>AR8981</v>
      </c>
      <c r="H247" s="43">
        <v>0</v>
      </c>
      <c r="I247" s="43">
        <v>0</v>
      </c>
      <c r="J247" s="43">
        <v>0</v>
      </c>
      <c r="K247" s="43">
        <v>0</v>
      </c>
      <c r="L247" s="43">
        <v>0</v>
      </c>
      <c r="M247" s="43">
        <v>0</v>
      </c>
      <c r="N247" s="43">
        <v>0</v>
      </c>
      <c r="O247" s="43">
        <v>0</v>
      </c>
      <c r="P247" s="45">
        <v>0</v>
      </c>
      <c r="Q247" s="45">
        <v>-1.4551915228366852E-11</v>
      </c>
      <c r="R247" s="45">
        <v>2.9103830456733704E-11</v>
      </c>
      <c r="S247" s="45">
        <v>0</v>
      </c>
      <c r="T247" s="45">
        <v>0</v>
      </c>
      <c r="U247" s="45">
        <v>220293.03</v>
      </c>
      <c r="V247" s="45">
        <v>-109630.35</v>
      </c>
      <c r="W247" s="45">
        <v>121226.45</v>
      </c>
    </row>
    <row r="248" spans="1:23" hidden="1" x14ac:dyDescent="0.25">
      <c r="A248" s="43">
        <v>3153</v>
      </c>
      <c r="B248" s="43">
        <v>8524</v>
      </c>
      <c r="C248" s="43" t="s">
        <v>622</v>
      </c>
      <c r="D248" s="43" t="s">
        <v>623</v>
      </c>
      <c r="E248" s="43" t="s">
        <v>26</v>
      </c>
      <c r="F248" s="43" t="s">
        <v>573</v>
      </c>
      <c r="G248" s="44" t="str">
        <f>IF(LEN(Table12_52_03[[#This Row],[Ledger Code]])&gt;3,"AR"&amp;Table12_52_03[[#This Row],[Ledger Code]],"TBC")</f>
        <v>AR8524</v>
      </c>
      <c r="H248" s="43">
        <v>103730</v>
      </c>
      <c r="I248" s="43">
        <v>5073</v>
      </c>
      <c r="J248" s="43">
        <v>17006</v>
      </c>
      <c r="K248" s="43">
        <v>43882</v>
      </c>
      <c r="L248" s="43">
        <v>56472</v>
      </c>
      <c r="M248" s="43">
        <v>14807</v>
      </c>
      <c r="N248" s="43">
        <v>26812</v>
      </c>
      <c r="O248" s="43">
        <v>56577</v>
      </c>
      <c r="P248" s="45">
        <v>0</v>
      </c>
      <c r="Q248" s="45">
        <v>0</v>
      </c>
      <c r="R248" s="45">
        <v>4828.2900000000009</v>
      </c>
      <c r="S248" s="45">
        <v>1751.5700000000002</v>
      </c>
      <c r="T248" s="45">
        <v>1926.4099999999996</v>
      </c>
      <c r="U248" s="45">
        <v>468.13000000000039</v>
      </c>
      <c r="V248" s="45">
        <v>1056.3500000000001</v>
      </c>
      <c r="W248" s="45">
        <v>1276.3</v>
      </c>
    </row>
    <row r="249" spans="1:23" hidden="1" x14ac:dyDescent="0.25">
      <c r="A249" s="43">
        <v>1882</v>
      </c>
      <c r="B249" s="43">
        <v>5861</v>
      </c>
      <c r="C249" s="43" t="s">
        <v>444</v>
      </c>
      <c r="D249" s="43" t="s">
        <v>445</v>
      </c>
      <c r="E249" s="43" t="s">
        <v>429</v>
      </c>
      <c r="F249" s="43" t="s">
        <v>98</v>
      </c>
      <c r="G249" s="44" t="str">
        <f>IF(LEN(Table12_52_03[[#This Row],[Ledger Code]])&gt;3,"AR"&amp;Table12_52_03[[#This Row],[Ledger Code]],"TBC")</f>
        <v>AR5861</v>
      </c>
      <c r="H249" s="43">
        <v>0</v>
      </c>
      <c r="I249" s="43">
        <v>0</v>
      </c>
      <c r="J249" s="43">
        <v>0</v>
      </c>
      <c r="K249" s="43">
        <v>0</v>
      </c>
      <c r="L249" s="43">
        <v>0</v>
      </c>
      <c r="M249" s="43">
        <v>0</v>
      </c>
      <c r="N249" s="43">
        <v>0</v>
      </c>
      <c r="O249" s="43">
        <v>0</v>
      </c>
      <c r="P249" s="45">
        <v>0</v>
      </c>
      <c r="Q249" s="45">
        <v>0</v>
      </c>
      <c r="R249" s="45">
        <v>0</v>
      </c>
      <c r="S249" s="45">
        <v>0</v>
      </c>
      <c r="T249" s="45">
        <v>0</v>
      </c>
      <c r="U249" s="45">
        <v>0</v>
      </c>
      <c r="V249" s="45">
        <v>0</v>
      </c>
      <c r="W249" s="45">
        <v>0</v>
      </c>
    </row>
    <row r="250" spans="1:23" hidden="1" x14ac:dyDescent="0.25">
      <c r="A250" s="43">
        <v>2020</v>
      </c>
      <c r="B250" s="43">
        <v>5858</v>
      </c>
      <c r="C250" s="43" t="s">
        <v>446</v>
      </c>
      <c r="D250" s="43" t="s">
        <v>447</v>
      </c>
      <c r="E250" s="43" t="s">
        <v>429</v>
      </c>
      <c r="F250" s="43" t="s">
        <v>98</v>
      </c>
      <c r="G250" s="44" t="str">
        <f>IF(LEN(Table12_52_03[[#This Row],[Ledger Code]])&gt;3,"AR"&amp;Table12_52_03[[#This Row],[Ledger Code]],"TBC")</f>
        <v>AR5858</v>
      </c>
      <c r="H250" s="43">
        <v>0</v>
      </c>
      <c r="I250" s="43">
        <v>0</v>
      </c>
      <c r="J250" s="43">
        <v>0</v>
      </c>
      <c r="K250" s="43">
        <v>0</v>
      </c>
      <c r="L250" s="43">
        <v>0</v>
      </c>
      <c r="M250" s="43">
        <v>0</v>
      </c>
      <c r="N250" s="43">
        <v>0</v>
      </c>
      <c r="O250" s="43">
        <v>0</v>
      </c>
      <c r="P250" s="45">
        <v>0</v>
      </c>
      <c r="Q250" s="45">
        <v>0</v>
      </c>
      <c r="R250" s="45">
        <v>0</v>
      </c>
      <c r="S250" s="45">
        <v>0</v>
      </c>
      <c r="T250" s="45">
        <v>0</v>
      </c>
      <c r="U250" s="45">
        <v>0</v>
      </c>
      <c r="V250" s="45">
        <v>0</v>
      </c>
      <c r="W250" s="45">
        <v>0</v>
      </c>
    </row>
    <row r="251" spans="1:23" hidden="1" x14ac:dyDescent="0.25">
      <c r="A251" s="43">
        <v>2023</v>
      </c>
      <c r="B251" s="43">
        <v>5862</v>
      </c>
      <c r="C251" s="43" t="s">
        <v>448</v>
      </c>
      <c r="D251" s="43" t="s">
        <v>449</v>
      </c>
      <c r="E251" s="43" t="s">
        <v>429</v>
      </c>
      <c r="F251" s="43" t="s">
        <v>98</v>
      </c>
      <c r="G251" s="44" t="str">
        <f>IF(LEN(Table12_52_03[[#This Row],[Ledger Code]])&gt;3,"AR"&amp;Table12_52_03[[#This Row],[Ledger Code]],"TBC")</f>
        <v>AR5862</v>
      </c>
      <c r="H251" s="43">
        <v>0</v>
      </c>
      <c r="I251" s="43">
        <v>0</v>
      </c>
      <c r="J251" s="43">
        <v>0</v>
      </c>
      <c r="K251" s="43">
        <v>0</v>
      </c>
      <c r="L251" s="43">
        <v>0</v>
      </c>
      <c r="M251" s="43">
        <v>0</v>
      </c>
      <c r="N251" s="43">
        <v>0</v>
      </c>
      <c r="O251" s="43">
        <v>0</v>
      </c>
      <c r="P251" s="45">
        <v>0</v>
      </c>
      <c r="Q251" s="45">
        <v>0</v>
      </c>
      <c r="R251" s="45">
        <v>0</v>
      </c>
      <c r="S251" s="45">
        <v>0</v>
      </c>
      <c r="T251" s="45">
        <v>0</v>
      </c>
      <c r="U251" s="45">
        <v>0</v>
      </c>
      <c r="V251" s="45">
        <v>0</v>
      </c>
      <c r="W251" s="45">
        <v>0</v>
      </c>
    </row>
    <row r="252" spans="1:23" hidden="1" x14ac:dyDescent="0.25">
      <c r="A252" s="43">
        <v>2352</v>
      </c>
      <c r="B252" s="43">
        <v>6003</v>
      </c>
      <c r="C252" s="43" t="s">
        <v>450</v>
      </c>
      <c r="D252" s="43" t="s">
        <v>110</v>
      </c>
      <c r="E252" s="43" t="s">
        <v>429</v>
      </c>
      <c r="F252" s="43" t="s">
        <v>98</v>
      </c>
      <c r="G252" s="44" t="str">
        <f>IF(LEN(Table12_52_03[[#This Row],[Ledger Code]])&gt;3,"AR"&amp;Table12_52_03[[#This Row],[Ledger Code]],"TBC")</f>
        <v>AR6003</v>
      </c>
      <c r="H252" s="43">
        <v>0</v>
      </c>
      <c r="I252" s="43">
        <v>0</v>
      </c>
      <c r="J252" s="43">
        <v>0</v>
      </c>
      <c r="K252" s="43">
        <v>0</v>
      </c>
      <c r="L252" s="43">
        <v>0</v>
      </c>
      <c r="M252" s="43">
        <v>0</v>
      </c>
      <c r="N252" s="43">
        <v>0</v>
      </c>
      <c r="O252" s="43">
        <v>0</v>
      </c>
      <c r="P252" s="45">
        <v>0</v>
      </c>
      <c r="Q252" s="45">
        <v>0</v>
      </c>
      <c r="R252" s="45">
        <v>0</v>
      </c>
      <c r="S252" s="45">
        <v>0</v>
      </c>
      <c r="T252" s="45">
        <v>0</v>
      </c>
      <c r="U252" s="45">
        <v>0</v>
      </c>
      <c r="V252" s="45">
        <v>0</v>
      </c>
      <c r="W252" s="45">
        <v>0</v>
      </c>
    </row>
    <row r="253" spans="1:23" hidden="1" x14ac:dyDescent="0.25">
      <c r="A253" s="43">
        <v>2382</v>
      </c>
      <c r="B253" s="43">
        <v>6164</v>
      </c>
      <c r="C253" s="43" t="s">
        <v>478</v>
      </c>
      <c r="D253" s="43" t="s">
        <v>479</v>
      </c>
      <c r="E253" s="43" t="s">
        <v>429</v>
      </c>
      <c r="F253" s="43" t="s">
        <v>98</v>
      </c>
      <c r="G253" s="44" t="str">
        <f>IF(LEN(Table12_52_03[[#This Row],[Ledger Code]])&gt;3,"AR"&amp;Table12_52_03[[#This Row],[Ledger Code]],"TBC")</f>
        <v>AR6164</v>
      </c>
      <c r="H253" s="43">
        <v>0</v>
      </c>
      <c r="I253" s="43">
        <v>0</v>
      </c>
      <c r="J253" s="43">
        <v>0</v>
      </c>
      <c r="K253" s="43">
        <v>0</v>
      </c>
      <c r="L253" s="43">
        <v>707243</v>
      </c>
      <c r="M253" s="43">
        <v>67226</v>
      </c>
      <c r="N253" s="43">
        <v>178014</v>
      </c>
      <c r="O253" s="43">
        <v>69142</v>
      </c>
      <c r="P253" s="45">
        <v>0</v>
      </c>
      <c r="Q253" s="45">
        <v>0</v>
      </c>
      <c r="R253" s="45">
        <v>0</v>
      </c>
      <c r="S253" s="45">
        <v>0</v>
      </c>
      <c r="T253" s="45">
        <v>0</v>
      </c>
      <c r="U253" s="45">
        <v>161440.66</v>
      </c>
      <c r="V253" s="45">
        <v>38559.699999999997</v>
      </c>
      <c r="W253" s="45">
        <v>28655.1</v>
      </c>
    </row>
    <row r="254" spans="1:23" hidden="1" x14ac:dyDescent="0.25">
      <c r="A254" s="43">
        <v>6060</v>
      </c>
      <c r="B254" s="43" t="s">
        <v>387</v>
      </c>
      <c r="C254" s="43" t="s">
        <v>451</v>
      </c>
      <c r="D254" s="43" t="s">
        <v>108</v>
      </c>
      <c r="E254" s="43" t="s">
        <v>429</v>
      </c>
      <c r="F254" s="43" t="s">
        <v>98</v>
      </c>
      <c r="G254" s="44" t="str">
        <f>IF(LEN(Table12_52_03[[#This Row],[Ledger Code]])&gt;3,"AR"&amp;Table12_52_03[[#This Row],[Ledger Code]],"TBC")</f>
        <v>TBC</v>
      </c>
      <c r="H254" s="43">
        <v>0</v>
      </c>
      <c r="I254" s="43">
        <v>0</v>
      </c>
      <c r="J254" s="43">
        <v>0</v>
      </c>
      <c r="K254" s="43">
        <v>0</v>
      </c>
      <c r="L254" s="43">
        <v>0</v>
      </c>
      <c r="M254" s="43">
        <v>0</v>
      </c>
      <c r="N254" s="43">
        <v>0</v>
      </c>
      <c r="O254" s="43">
        <v>0</v>
      </c>
      <c r="P254" s="45">
        <v>0</v>
      </c>
      <c r="Q254" s="45">
        <v>0</v>
      </c>
      <c r="R254" s="45">
        <v>0</v>
      </c>
      <c r="S254" s="45">
        <v>0</v>
      </c>
      <c r="T254" s="45">
        <v>0</v>
      </c>
      <c r="U254" s="45">
        <v>0</v>
      </c>
      <c r="V254" s="45">
        <v>0</v>
      </c>
      <c r="W254" s="45">
        <v>0</v>
      </c>
    </row>
    <row r="255" spans="1:23" hidden="1" x14ac:dyDescent="0.25">
      <c r="A255" s="43">
        <v>2301</v>
      </c>
      <c r="B255" s="43">
        <v>5953</v>
      </c>
      <c r="C255" s="43" t="s">
        <v>452</v>
      </c>
      <c r="D255" s="43" t="s">
        <v>453</v>
      </c>
      <c r="E255" s="43" t="s">
        <v>429</v>
      </c>
      <c r="F255" s="43" t="s">
        <v>98</v>
      </c>
      <c r="G255" s="44" t="str">
        <f>IF(LEN(Table12_52_03[[#This Row],[Ledger Code]])&gt;3,"AR"&amp;Table12_52_03[[#This Row],[Ledger Code]],"TBC")</f>
        <v>AR5953</v>
      </c>
      <c r="H255" s="43">
        <v>0</v>
      </c>
      <c r="I255" s="43">
        <v>0</v>
      </c>
      <c r="J255" s="43">
        <v>0</v>
      </c>
      <c r="K255" s="43">
        <v>0</v>
      </c>
      <c r="L255" s="43">
        <v>0</v>
      </c>
      <c r="M255" s="43">
        <v>0</v>
      </c>
      <c r="N255" s="43">
        <v>0</v>
      </c>
      <c r="O255" s="43">
        <v>0</v>
      </c>
      <c r="P255" s="45">
        <v>0</v>
      </c>
      <c r="Q255" s="45">
        <v>0</v>
      </c>
      <c r="R255" s="45">
        <v>0</v>
      </c>
      <c r="S255" s="45">
        <v>0</v>
      </c>
      <c r="T255" s="45">
        <v>0</v>
      </c>
      <c r="U255" s="45">
        <v>0</v>
      </c>
      <c r="V255" s="45">
        <v>0</v>
      </c>
      <c r="W255" s="45">
        <v>0</v>
      </c>
    </row>
    <row r="256" spans="1:23" hidden="1" x14ac:dyDescent="0.25">
      <c r="A256" s="43">
        <v>2086</v>
      </c>
      <c r="B256" s="43">
        <v>5872</v>
      </c>
      <c r="C256" s="43" t="s">
        <v>430</v>
      </c>
      <c r="D256" s="43" t="s">
        <v>431</v>
      </c>
      <c r="E256" s="43" t="s">
        <v>429</v>
      </c>
      <c r="F256" s="43" t="s">
        <v>98</v>
      </c>
      <c r="G256" s="44" t="str">
        <f>IF(LEN(Table12_52_03[[#This Row],[Ledger Code]])&gt;3,"AR"&amp;Table12_52_03[[#This Row],[Ledger Code]],"TBC")</f>
        <v>AR5872</v>
      </c>
      <c r="H256" s="43">
        <v>461625</v>
      </c>
      <c r="I256" s="43">
        <v>257167</v>
      </c>
      <c r="J256" s="43">
        <v>552223</v>
      </c>
      <c r="K256" s="43">
        <v>638490</v>
      </c>
      <c r="L256" s="43">
        <v>309563</v>
      </c>
      <c r="M256" s="43">
        <v>178840</v>
      </c>
      <c r="N256" s="43">
        <v>338406</v>
      </c>
      <c r="O256" s="43">
        <v>730903</v>
      </c>
      <c r="P256" s="45">
        <v>0</v>
      </c>
      <c r="Q256" s="45">
        <v>22307.809999999998</v>
      </c>
      <c r="R256" s="45">
        <v>15985.23</v>
      </c>
      <c r="S256" s="45">
        <v>22481.589999999997</v>
      </c>
      <c r="T256" s="45">
        <v>15071.14</v>
      </c>
      <c r="U256" s="45">
        <v>7053.7299999999977</v>
      </c>
      <c r="V256" s="45">
        <v>12264.98</v>
      </c>
      <c r="W256" s="45">
        <v>411.83999999998105</v>
      </c>
    </row>
    <row r="257" spans="1:23" hidden="1" x14ac:dyDescent="0.25">
      <c r="A257" s="43">
        <v>1347</v>
      </c>
      <c r="B257" s="43">
        <v>5666</v>
      </c>
      <c r="C257" s="43" t="s">
        <v>454</v>
      </c>
      <c r="D257" s="43" t="s">
        <v>455</v>
      </c>
      <c r="E257" s="43" t="s">
        <v>429</v>
      </c>
      <c r="F257" s="43" t="s">
        <v>83</v>
      </c>
      <c r="G257" s="44" t="str">
        <f>IF(LEN(Table12_52_03[[#This Row],[Ledger Code]])&gt;3,"AR"&amp;Table12_52_03[[#This Row],[Ledger Code]],"TBC")</f>
        <v>AR5666</v>
      </c>
      <c r="H257" s="43">
        <v>0</v>
      </c>
      <c r="I257" s="43">
        <v>0</v>
      </c>
      <c r="J257" s="43">
        <v>0</v>
      </c>
      <c r="K257" s="43">
        <v>0</v>
      </c>
      <c r="L257" s="43">
        <v>0</v>
      </c>
      <c r="M257" s="43">
        <v>0</v>
      </c>
      <c r="N257" s="43">
        <v>0</v>
      </c>
      <c r="O257" s="43">
        <v>0</v>
      </c>
      <c r="P257" s="45">
        <v>0</v>
      </c>
      <c r="Q257" s="45">
        <v>0</v>
      </c>
      <c r="R257" s="45">
        <v>0</v>
      </c>
      <c r="S257" s="45">
        <v>0</v>
      </c>
      <c r="T257" s="45">
        <v>0</v>
      </c>
      <c r="U257" s="45">
        <v>0</v>
      </c>
      <c r="V257" s="45">
        <v>0</v>
      </c>
      <c r="W257" s="45">
        <v>0</v>
      </c>
    </row>
    <row r="258" spans="1:23" hidden="1" x14ac:dyDescent="0.25">
      <c r="A258" s="43">
        <v>1368</v>
      </c>
      <c r="B258" s="43">
        <v>5619</v>
      </c>
      <c r="C258" s="43" t="s">
        <v>456</v>
      </c>
      <c r="D258" s="43" t="s">
        <v>457</v>
      </c>
      <c r="E258" s="43" t="s">
        <v>429</v>
      </c>
      <c r="F258" s="43" t="s">
        <v>83</v>
      </c>
      <c r="G258" s="44" t="str">
        <f>IF(LEN(Table12_52_03[[#This Row],[Ledger Code]])&gt;3,"AR"&amp;Table12_52_03[[#This Row],[Ledger Code]],"TBC")</f>
        <v>AR5619</v>
      </c>
      <c r="H258" s="43">
        <v>0</v>
      </c>
      <c r="I258" s="43">
        <v>0</v>
      </c>
      <c r="J258" s="43">
        <v>0</v>
      </c>
      <c r="K258" s="43">
        <v>0</v>
      </c>
      <c r="L258" s="43">
        <v>0</v>
      </c>
      <c r="M258" s="43">
        <v>0</v>
      </c>
      <c r="N258" s="43">
        <v>0</v>
      </c>
      <c r="O258" s="43">
        <v>0</v>
      </c>
      <c r="P258" s="45">
        <v>0</v>
      </c>
      <c r="Q258" s="45">
        <v>0</v>
      </c>
      <c r="R258" s="45">
        <v>2065.12</v>
      </c>
      <c r="S258" s="45">
        <v>-665.88</v>
      </c>
      <c r="T258" s="45">
        <v>0</v>
      </c>
      <c r="U258" s="45">
        <v>0</v>
      </c>
      <c r="V258" s="45">
        <v>0</v>
      </c>
      <c r="W258" s="45">
        <v>0</v>
      </c>
    </row>
    <row r="259" spans="1:23" hidden="1" x14ac:dyDescent="0.25">
      <c r="A259" s="43">
        <v>1392</v>
      </c>
      <c r="B259" s="43">
        <v>5644</v>
      </c>
      <c r="C259" s="43" t="s">
        <v>458</v>
      </c>
      <c r="D259" s="43" t="s">
        <v>459</v>
      </c>
      <c r="E259" s="43" t="s">
        <v>429</v>
      </c>
      <c r="F259" s="43" t="s">
        <v>83</v>
      </c>
      <c r="G259" s="44" t="str">
        <f>IF(LEN(Table12_52_03[[#This Row],[Ledger Code]])&gt;3,"AR"&amp;Table12_52_03[[#This Row],[Ledger Code]],"TBC")</f>
        <v>AR5644</v>
      </c>
      <c r="H259" s="43">
        <v>0</v>
      </c>
      <c r="I259" s="43">
        <v>0</v>
      </c>
      <c r="J259" s="43">
        <v>0</v>
      </c>
      <c r="K259" s="43">
        <v>0</v>
      </c>
      <c r="L259" s="43">
        <v>0</v>
      </c>
      <c r="M259" s="43">
        <v>0</v>
      </c>
      <c r="N259" s="43">
        <v>0</v>
      </c>
      <c r="O259" s="43">
        <v>0</v>
      </c>
      <c r="P259" s="45">
        <v>0</v>
      </c>
      <c r="Q259" s="45">
        <v>0</v>
      </c>
      <c r="R259" s="45">
        <v>0</v>
      </c>
      <c r="S259" s="45">
        <v>0</v>
      </c>
      <c r="T259" s="45">
        <v>0</v>
      </c>
      <c r="U259" s="45">
        <v>0</v>
      </c>
      <c r="V259" s="45">
        <v>0</v>
      </c>
      <c r="W259" s="45">
        <v>0</v>
      </c>
    </row>
    <row r="260" spans="1:23" hidden="1" x14ac:dyDescent="0.25">
      <c r="A260" s="43">
        <v>1412</v>
      </c>
      <c r="B260" s="43">
        <v>5733</v>
      </c>
      <c r="C260" s="43" t="s">
        <v>460</v>
      </c>
      <c r="D260" s="43" t="s">
        <v>461</v>
      </c>
      <c r="E260" s="43" t="s">
        <v>429</v>
      </c>
      <c r="F260" s="43" t="s">
        <v>83</v>
      </c>
      <c r="G260" s="44" t="str">
        <f>IF(LEN(Table12_52_03[[#This Row],[Ledger Code]])&gt;3,"AR"&amp;Table12_52_03[[#This Row],[Ledger Code]],"TBC")</f>
        <v>AR5733</v>
      </c>
      <c r="H260" s="43">
        <v>62256</v>
      </c>
      <c r="I260" s="43">
        <v>7821</v>
      </c>
      <c r="J260" s="43">
        <v>130148</v>
      </c>
      <c r="K260" s="43">
        <v>167147</v>
      </c>
      <c r="L260" s="43">
        <v>39898</v>
      </c>
      <c r="M260" s="43">
        <v>4966</v>
      </c>
      <c r="N260" s="43">
        <v>115857</v>
      </c>
      <c r="O260" s="43">
        <v>131444</v>
      </c>
      <c r="P260" s="45">
        <v>0</v>
      </c>
      <c r="Q260" s="45">
        <v>3357.9099999999994</v>
      </c>
      <c r="R260" s="45">
        <v>3403.12</v>
      </c>
      <c r="S260" s="45">
        <v>6754.7599999999993</v>
      </c>
      <c r="T260" s="45">
        <v>3309.6499999999996</v>
      </c>
      <c r="U260" s="45">
        <v>906.74000000000069</v>
      </c>
      <c r="V260" s="45">
        <v>2811.76</v>
      </c>
      <c r="W260" s="45">
        <v>4258.74</v>
      </c>
    </row>
    <row r="261" spans="1:23" hidden="1" x14ac:dyDescent="0.25">
      <c r="A261" s="43">
        <v>1418</v>
      </c>
      <c r="B261" s="43">
        <v>5740</v>
      </c>
      <c r="C261" s="43" t="s">
        <v>442</v>
      </c>
      <c r="D261" s="43" t="s">
        <v>443</v>
      </c>
      <c r="E261" s="43" t="s">
        <v>429</v>
      </c>
      <c r="F261" s="43" t="s">
        <v>83</v>
      </c>
      <c r="G261" s="44" t="str">
        <f>IF(LEN(Table12_52_03[[#This Row],[Ledger Code]])&gt;3,"AR"&amp;Table12_52_03[[#This Row],[Ledger Code]],"TBC")</f>
        <v>AR5740</v>
      </c>
      <c r="H261" s="43">
        <v>30890</v>
      </c>
      <c r="I261" s="43">
        <v>14047</v>
      </c>
      <c r="J261" s="43">
        <v>52376</v>
      </c>
      <c r="K261" s="43">
        <v>75838</v>
      </c>
      <c r="L261" s="43">
        <v>47584</v>
      </c>
      <c r="M261" s="43">
        <v>18229</v>
      </c>
      <c r="N261" s="43">
        <v>43122</v>
      </c>
      <c r="O261" s="43">
        <v>88082</v>
      </c>
      <c r="P261" s="45">
        <v>0</v>
      </c>
      <c r="Q261" s="45">
        <v>1880.66</v>
      </c>
      <c r="R261" s="45">
        <v>1978.6899999999996</v>
      </c>
      <c r="S261" s="45">
        <v>2721.7099999999996</v>
      </c>
      <c r="T261" s="45">
        <v>1766.3100000000004</v>
      </c>
      <c r="U261" s="45">
        <v>667.83000000000027</v>
      </c>
      <c r="V261" s="45">
        <v>1615.64</v>
      </c>
      <c r="W261" s="45">
        <v>1950.5</v>
      </c>
    </row>
    <row r="262" spans="1:23" hidden="1" x14ac:dyDescent="0.25">
      <c r="A262" s="43">
        <v>1437</v>
      </c>
      <c r="B262" s="43">
        <v>5663</v>
      </c>
      <c r="C262" s="43" t="s">
        <v>464</v>
      </c>
      <c r="D262" s="43" t="s">
        <v>465</v>
      </c>
      <c r="E262" s="43" t="s">
        <v>429</v>
      </c>
      <c r="F262" s="43" t="s">
        <v>83</v>
      </c>
      <c r="G262" s="44" t="str">
        <f>IF(LEN(Table12_52_03[[#This Row],[Ledger Code]])&gt;3,"AR"&amp;Table12_52_03[[#This Row],[Ledger Code]],"TBC")</f>
        <v>AR5663</v>
      </c>
      <c r="H262" s="43">
        <v>36462</v>
      </c>
      <c r="I262" s="43">
        <v>16641</v>
      </c>
      <c r="J262" s="43">
        <v>52905</v>
      </c>
      <c r="K262" s="43">
        <v>102049</v>
      </c>
      <c r="L262" s="43">
        <v>65167</v>
      </c>
      <c r="M262" s="43">
        <v>24552</v>
      </c>
      <c r="N262" s="43">
        <v>38307</v>
      </c>
      <c r="O262" s="43">
        <v>106335</v>
      </c>
      <c r="P262" s="45">
        <v>0</v>
      </c>
      <c r="Q262" s="45">
        <v>3107.49</v>
      </c>
      <c r="R262" s="45">
        <v>1634.6199999999988</v>
      </c>
      <c r="S262" s="45">
        <v>3749.5999999999995</v>
      </c>
      <c r="T262" s="45">
        <v>2428.17</v>
      </c>
      <c r="U262" s="45">
        <v>928.39999999999975</v>
      </c>
      <c r="V262" s="45">
        <v>1560.51</v>
      </c>
      <c r="W262" s="45">
        <v>2373.79</v>
      </c>
    </row>
    <row r="263" spans="1:23" hidden="1" x14ac:dyDescent="0.25">
      <c r="A263" s="43">
        <v>2770</v>
      </c>
      <c r="B263" s="43">
        <v>6302</v>
      </c>
      <c r="C263" s="43" t="s">
        <v>466</v>
      </c>
      <c r="D263" s="43" t="s">
        <v>467</v>
      </c>
      <c r="E263" s="43" t="s">
        <v>429</v>
      </c>
      <c r="F263" s="43" t="s">
        <v>83</v>
      </c>
      <c r="G263" s="44" t="str">
        <f>IF(LEN(Table12_52_03[[#This Row],[Ledger Code]])&gt;3,"AR"&amp;Table12_52_03[[#This Row],[Ledger Code]],"TBC")</f>
        <v>AR6302</v>
      </c>
      <c r="H263" s="43">
        <v>0</v>
      </c>
      <c r="I263" s="43">
        <v>0</v>
      </c>
      <c r="J263" s="43">
        <v>0</v>
      </c>
      <c r="K263" s="43">
        <v>16737</v>
      </c>
      <c r="L263" s="43">
        <v>10776</v>
      </c>
      <c r="M263" s="43">
        <v>3074</v>
      </c>
      <c r="N263" s="43">
        <v>8717</v>
      </c>
      <c r="O263" s="43">
        <v>18074</v>
      </c>
      <c r="P263" s="45">
        <v>0</v>
      </c>
      <c r="Q263" s="45">
        <v>0</v>
      </c>
      <c r="R263" s="45">
        <v>0</v>
      </c>
      <c r="S263" s="45">
        <v>692.4200000000003</v>
      </c>
      <c r="T263" s="45">
        <v>447</v>
      </c>
      <c r="U263" s="45">
        <v>167.53</v>
      </c>
      <c r="V263" s="45">
        <v>371.07</v>
      </c>
      <c r="W263" s="45">
        <v>430.90999999999997</v>
      </c>
    </row>
    <row r="264" spans="1:23" hidden="1" x14ac:dyDescent="0.25">
      <c r="A264" s="43">
        <v>2779</v>
      </c>
      <c r="B264" s="43">
        <v>6311</v>
      </c>
      <c r="C264" s="43" t="s">
        <v>427</v>
      </c>
      <c r="D264" s="43" t="s">
        <v>428</v>
      </c>
      <c r="E264" s="43" t="s">
        <v>429</v>
      </c>
      <c r="F264" s="43" t="s">
        <v>83</v>
      </c>
      <c r="G264" s="44" t="str">
        <f>IF(LEN(Table12_52_03[[#This Row],[Ledger Code]])&gt;3,"AR"&amp;Table12_52_03[[#This Row],[Ledger Code]],"TBC")</f>
        <v>AR6311</v>
      </c>
      <c r="H264" s="43">
        <v>0</v>
      </c>
      <c r="I264" s="43">
        <v>0</v>
      </c>
      <c r="J264" s="43">
        <v>0</v>
      </c>
      <c r="K264" s="43">
        <v>0</v>
      </c>
      <c r="L264" s="43">
        <v>0</v>
      </c>
      <c r="M264" s="43">
        <v>0</v>
      </c>
      <c r="N264" s="43">
        <v>0</v>
      </c>
      <c r="O264" s="43">
        <v>0</v>
      </c>
      <c r="P264" s="45">
        <v>0</v>
      </c>
      <c r="Q264" s="45">
        <v>0</v>
      </c>
      <c r="R264" s="45">
        <v>0</v>
      </c>
      <c r="S264" s="45">
        <v>0</v>
      </c>
      <c r="T264" s="45">
        <v>0</v>
      </c>
      <c r="U264" s="45">
        <v>0</v>
      </c>
      <c r="V264" s="45">
        <v>0</v>
      </c>
      <c r="W264" s="45">
        <v>0</v>
      </c>
    </row>
    <row r="265" spans="1:23" hidden="1" x14ac:dyDescent="0.25">
      <c r="A265" s="43">
        <v>2965</v>
      </c>
      <c r="B265" s="43">
        <v>6333</v>
      </c>
      <c r="C265" s="43" t="s">
        <v>438</v>
      </c>
      <c r="D265" s="43" t="s">
        <v>439</v>
      </c>
      <c r="E265" s="43" t="s">
        <v>429</v>
      </c>
      <c r="F265" s="43" t="s">
        <v>83</v>
      </c>
      <c r="G265" s="44" t="str">
        <f>IF(LEN(Table12_52_03[[#This Row],[Ledger Code]])&gt;3,"AR"&amp;Table12_52_03[[#This Row],[Ledger Code]],"TBC")</f>
        <v>AR6333</v>
      </c>
      <c r="H265" s="43">
        <v>0</v>
      </c>
      <c r="I265" s="43">
        <v>0</v>
      </c>
      <c r="J265" s="43">
        <v>0</v>
      </c>
      <c r="K265" s="43">
        <v>0</v>
      </c>
      <c r="L265" s="43">
        <v>0</v>
      </c>
      <c r="M265" s="43">
        <v>0</v>
      </c>
      <c r="N265" s="43">
        <v>0</v>
      </c>
      <c r="O265" s="43">
        <v>0</v>
      </c>
      <c r="P265" s="45">
        <v>0</v>
      </c>
      <c r="Q265" s="45">
        <v>0</v>
      </c>
      <c r="R265" s="45">
        <v>1970.6599999999996</v>
      </c>
      <c r="S265" s="45">
        <v>4364.0300000000007</v>
      </c>
      <c r="T265" s="45">
        <v>915.58</v>
      </c>
      <c r="U265" s="45">
        <v>73.009999999999934</v>
      </c>
      <c r="V265" s="45">
        <v>1114.92</v>
      </c>
      <c r="W265" s="45">
        <v>968.94</v>
      </c>
    </row>
    <row r="266" spans="1:23" hidden="1" x14ac:dyDescent="0.25">
      <c r="A266" s="43">
        <v>2976</v>
      </c>
      <c r="B266" s="43">
        <v>6345</v>
      </c>
      <c r="C266" s="43" t="s">
        <v>440</v>
      </c>
      <c r="D266" s="43" t="s">
        <v>441</v>
      </c>
      <c r="E266" s="43" t="s">
        <v>429</v>
      </c>
      <c r="F266" s="43" t="s">
        <v>83</v>
      </c>
      <c r="G266" s="44" t="str">
        <f>IF(LEN(Table12_52_03[[#This Row],[Ledger Code]])&gt;3,"AR"&amp;Table12_52_03[[#This Row],[Ledger Code]],"TBC")</f>
        <v>AR6345</v>
      </c>
      <c r="H266" s="43">
        <v>0</v>
      </c>
      <c r="I266" s="43">
        <v>0</v>
      </c>
      <c r="J266" s="43">
        <v>0</v>
      </c>
      <c r="K266" s="43">
        <v>0</v>
      </c>
      <c r="L266" s="43">
        <v>0</v>
      </c>
      <c r="M266" s="43">
        <v>0</v>
      </c>
      <c r="N266" s="43">
        <v>0</v>
      </c>
      <c r="O266" s="43">
        <v>0</v>
      </c>
      <c r="P266" s="45">
        <v>0</v>
      </c>
      <c r="Q266" s="45">
        <v>258.49</v>
      </c>
      <c r="R266" s="45">
        <v>-663.34000000000015</v>
      </c>
      <c r="S266" s="45">
        <v>22039.38</v>
      </c>
      <c r="T266" s="45">
        <v>-5783.01</v>
      </c>
      <c r="U266" s="45">
        <v>-8815.17</v>
      </c>
      <c r="V266" s="45">
        <v>-1276.05</v>
      </c>
      <c r="W266" s="45">
        <v>-283.55999999999995</v>
      </c>
    </row>
    <row r="267" spans="1:23" hidden="1" x14ac:dyDescent="0.25">
      <c r="A267" s="43">
        <v>3037</v>
      </c>
      <c r="B267" s="43">
        <v>6223</v>
      </c>
      <c r="C267" s="43" t="s">
        <v>432</v>
      </c>
      <c r="D267" s="43" t="s">
        <v>433</v>
      </c>
      <c r="E267" s="43" t="s">
        <v>429</v>
      </c>
      <c r="F267" s="43" t="s">
        <v>83</v>
      </c>
      <c r="G267" s="44" t="str">
        <f>IF(LEN(Table12_52_03[[#This Row],[Ledger Code]])&gt;3,"AR"&amp;Table12_52_03[[#This Row],[Ledger Code]],"TBC")</f>
        <v>AR6223</v>
      </c>
      <c r="H267" s="43">
        <v>0</v>
      </c>
      <c r="I267" s="43">
        <v>0</v>
      </c>
      <c r="J267" s="43">
        <v>0</v>
      </c>
      <c r="K267" s="43">
        <v>0</v>
      </c>
      <c r="L267" s="43">
        <v>0</v>
      </c>
      <c r="M267" s="43">
        <v>0</v>
      </c>
      <c r="N267" s="43">
        <v>0</v>
      </c>
      <c r="O267" s="43">
        <v>0</v>
      </c>
      <c r="P267" s="45">
        <v>0</v>
      </c>
      <c r="Q267" s="45">
        <v>0</v>
      </c>
      <c r="R267" s="45">
        <v>0</v>
      </c>
      <c r="S267" s="45">
        <v>0</v>
      </c>
      <c r="T267" s="45">
        <v>0</v>
      </c>
      <c r="U267" s="45">
        <v>0</v>
      </c>
      <c r="V267" s="45">
        <v>0</v>
      </c>
      <c r="W267" s="45">
        <v>0</v>
      </c>
    </row>
    <row r="268" spans="1:23" hidden="1" x14ac:dyDescent="0.25">
      <c r="A268" s="43">
        <v>3432</v>
      </c>
      <c r="B268" s="43">
        <v>6527</v>
      </c>
      <c r="C268" s="43" t="s">
        <v>468</v>
      </c>
      <c r="D268" s="43" t="s">
        <v>203</v>
      </c>
      <c r="E268" s="43" t="s">
        <v>429</v>
      </c>
      <c r="F268" s="43" t="s">
        <v>83</v>
      </c>
      <c r="G268" s="44" t="str">
        <f>IF(LEN(Table12_52_03[[#This Row],[Ledger Code]])&gt;3,"AR"&amp;Table12_52_03[[#This Row],[Ledger Code]],"TBC")</f>
        <v>AR6527</v>
      </c>
      <c r="H268" s="43">
        <v>0</v>
      </c>
      <c r="I268" s="43">
        <v>0</v>
      </c>
      <c r="J268" s="43">
        <v>0</v>
      </c>
      <c r="K268" s="43">
        <v>0</v>
      </c>
      <c r="L268" s="43">
        <v>0</v>
      </c>
      <c r="M268" s="43">
        <v>0</v>
      </c>
      <c r="N268" s="43">
        <v>0</v>
      </c>
      <c r="O268" s="43">
        <v>0</v>
      </c>
      <c r="P268" s="45">
        <v>0</v>
      </c>
      <c r="Q268" s="45">
        <v>1626.8400000000001</v>
      </c>
      <c r="R268" s="45">
        <v>-2.8421709430404007E-14</v>
      </c>
      <c r="S268" s="45">
        <v>0</v>
      </c>
      <c r="T268" s="45">
        <v>4064.79</v>
      </c>
      <c r="U268" s="45">
        <v>0</v>
      </c>
      <c r="V268" s="45">
        <v>0</v>
      </c>
      <c r="W268" s="45">
        <v>0</v>
      </c>
    </row>
    <row r="269" spans="1:23" hidden="1" x14ac:dyDescent="0.25">
      <c r="A269" s="43">
        <v>3433</v>
      </c>
      <c r="B269" s="43">
        <v>6527</v>
      </c>
      <c r="C269" s="43" t="s">
        <v>469</v>
      </c>
      <c r="D269" s="43" t="s">
        <v>203</v>
      </c>
      <c r="E269" s="43" t="s">
        <v>429</v>
      </c>
      <c r="F269" s="43" t="s">
        <v>83</v>
      </c>
      <c r="G269" s="44" t="str">
        <f>IF(LEN(Table12_52_03[[#This Row],[Ledger Code]])&gt;3,"AR"&amp;Table12_52_03[[#This Row],[Ledger Code]],"TBC")</f>
        <v>AR6527</v>
      </c>
      <c r="H269" s="43">
        <v>0</v>
      </c>
      <c r="I269" s="43">
        <v>0</v>
      </c>
      <c r="J269" s="43">
        <v>0</v>
      </c>
      <c r="K269" s="43">
        <v>0</v>
      </c>
      <c r="L269" s="43">
        <v>0</v>
      </c>
      <c r="M269" s="43">
        <v>0</v>
      </c>
      <c r="N269" s="43">
        <v>0</v>
      </c>
      <c r="O269" s="43">
        <v>0</v>
      </c>
      <c r="P269" s="45">
        <v>0</v>
      </c>
      <c r="Q269" s="45">
        <v>1626.8400000000001</v>
      </c>
      <c r="R269" s="45">
        <v>-2.8421709430404007E-14</v>
      </c>
      <c r="S269" s="45">
        <v>0</v>
      </c>
      <c r="T269" s="45">
        <v>4064.79</v>
      </c>
      <c r="U269" s="45">
        <v>0</v>
      </c>
      <c r="V269" s="45">
        <v>0</v>
      </c>
      <c r="W269" s="45">
        <v>0</v>
      </c>
    </row>
    <row r="270" spans="1:23" hidden="1" x14ac:dyDescent="0.25">
      <c r="A270" s="43">
        <v>3473</v>
      </c>
      <c r="B270" s="43">
        <v>6481</v>
      </c>
      <c r="C270" s="43" t="s">
        <v>434</v>
      </c>
      <c r="D270" s="43" t="s">
        <v>435</v>
      </c>
      <c r="E270" s="43" t="s">
        <v>429</v>
      </c>
      <c r="F270" s="43" t="s">
        <v>83</v>
      </c>
      <c r="G270" s="44" t="str">
        <f>IF(LEN(Table12_52_03[[#This Row],[Ledger Code]])&gt;3,"AR"&amp;Table12_52_03[[#This Row],[Ledger Code]],"TBC")</f>
        <v>AR6481</v>
      </c>
      <c r="H270" s="43">
        <v>773932</v>
      </c>
      <c r="I270" s="43">
        <v>314924</v>
      </c>
      <c r="J270" s="43">
        <v>1058115</v>
      </c>
      <c r="K270" s="43">
        <v>1378124</v>
      </c>
      <c r="L270" s="43">
        <v>672769</v>
      </c>
      <c r="M270" s="43">
        <v>542615</v>
      </c>
      <c r="N270" s="43">
        <v>1159744</v>
      </c>
      <c r="O270" s="43">
        <v>985329</v>
      </c>
      <c r="P270" s="45">
        <v>0</v>
      </c>
      <c r="Q270" s="45">
        <v>34150.780000000006</v>
      </c>
      <c r="R270" s="45">
        <v>28965.800000000003</v>
      </c>
      <c r="S270" s="45">
        <v>48965.990000000005</v>
      </c>
      <c r="T270" s="45">
        <v>31986.350000000006</v>
      </c>
      <c r="U270" s="45">
        <v>13472.689999999999</v>
      </c>
      <c r="V270" s="45">
        <v>28410.79</v>
      </c>
      <c r="W270" s="45">
        <v>32378.3</v>
      </c>
    </row>
    <row r="271" spans="1:23" hidden="1" x14ac:dyDescent="0.25">
      <c r="A271" s="43">
        <v>3484</v>
      </c>
      <c r="B271" s="43">
        <v>6508</v>
      </c>
      <c r="C271" s="43" t="s">
        <v>472</v>
      </c>
      <c r="D271" s="43" t="s">
        <v>473</v>
      </c>
      <c r="E271" s="43" t="s">
        <v>429</v>
      </c>
      <c r="F271" s="43" t="s">
        <v>83</v>
      </c>
      <c r="G271" s="44" t="str">
        <f>IF(LEN(Table12_52_03[[#This Row],[Ledger Code]])&gt;3,"AR"&amp;Table12_52_03[[#This Row],[Ledger Code]],"TBC")</f>
        <v>AR6508</v>
      </c>
      <c r="H271" s="43">
        <v>34251</v>
      </c>
      <c r="I271" s="43">
        <v>12098</v>
      </c>
      <c r="J271" s="43">
        <v>33116</v>
      </c>
      <c r="K271" s="43">
        <v>44055</v>
      </c>
      <c r="L271" s="43">
        <v>33353</v>
      </c>
      <c r="M271" s="43">
        <v>14234</v>
      </c>
      <c r="N271" s="43">
        <v>29837</v>
      </c>
      <c r="O271" s="43">
        <v>73121</v>
      </c>
      <c r="P271" s="45">
        <v>0</v>
      </c>
      <c r="Q271" s="45">
        <v>0</v>
      </c>
      <c r="R271" s="45">
        <v>4544.7999999999993</v>
      </c>
      <c r="S271" s="45">
        <v>2727.2799999999997</v>
      </c>
      <c r="T271" s="45">
        <v>1283</v>
      </c>
      <c r="U271" s="45">
        <v>474.84000000000003</v>
      </c>
      <c r="V271" s="45">
        <v>1167.4000000000001</v>
      </c>
      <c r="W271" s="45">
        <v>1719.3600000000001</v>
      </c>
    </row>
    <row r="272" spans="1:23" hidden="1" x14ac:dyDescent="0.25">
      <c r="A272" s="43">
        <v>3551</v>
      </c>
      <c r="B272" s="43">
        <v>6479</v>
      </c>
      <c r="C272" s="43" t="s">
        <v>462</v>
      </c>
      <c r="D272" s="43" t="s">
        <v>463</v>
      </c>
      <c r="E272" s="43" t="s">
        <v>429</v>
      </c>
      <c r="F272" s="43" t="s">
        <v>83</v>
      </c>
      <c r="G272" s="44" t="str">
        <f>IF(LEN(Table12_52_03[[#This Row],[Ledger Code]])&gt;3,"AR"&amp;Table12_52_03[[#This Row],[Ledger Code]],"TBC")</f>
        <v>AR6479</v>
      </c>
      <c r="H272" s="43">
        <v>400818</v>
      </c>
      <c r="I272" s="43">
        <v>223749</v>
      </c>
      <c r="J272" s="43">
        <v>530401</v>
      </c>
      <c r="K272" s="43">
        <v>623383</v>
      </c>
      <c r="L272" s="43">
        <v>308998</v>
      </c>
      <c r="M272" s="43">
        <v>243284</v>
      </c>
      <c r="N272" s="43">
        <v>513757</v>
      </c>
      <c r="O272" s="43">
        <v>483268</v>
      </c>
      <c r="P272" s="45">
        <v>0</v>
      </c>
      <c r="Q272" s="45">
        <v>20920.849999999995</v>
      </c>
      <c r="R272" s="45">
        <v>15863.11</v>
      </c>
      <c r="S272" s="45">
        <v>23244.719999999998</v>
      </c>
      <c r="T272" s="45">
        <v>15090.05</v>
      </c>
      <c r="U272" s="45">
        <v>7230.579999999999</v>
      </c>
      <c r="V272" s="45">
        <v>12748.61</v>
      </c>
      <c r="W272" s="45">
        <v>438.06999999996242</v>
      </c>
    </row>
    <row r="273" spans="1:23" hidden="1" x14ac:dyDescent="0.25">
      <c r="A273" s="43">
        <v>3559</v>
      </c>
      <c r="B273" s="43">
        <v>6459</v>
      </c>
      <c r="C273" s="43" t="s">
        <v>436</v>
      </c>
      <c r="D273" s="43" t="s">
        <v>437</v>
      </c>
      <c r="E273" s="43" t="s">
        <v>429</v>
      </c>
      <c r="F273" s="43" t="s">
        <v>83</v>
      </c>
      <c r="G273" s="44" t="str">
        <f>IF(LEN(Table12_52_03[[#This Row],[Ledger Code]])&gt;3,"AR"&amp;Table12_52_03[[#This Row],[Ledger Code]],"TBC")</f>
        <v>AR6459</v>
      </c>
      <c r="H273" s="43">
        <v>38126</v>
      </c>
      <c r="I273" s="43">
        <v>25681</v>
      </c>
      <c r="J273" s="43">
        <v>29581</v>
      </c>
      <c r="K273" s="43">
        <v>109400</v>
      </c>
      <c r="L273" s="43">
        <v>89208</v>
      </c>
      <c r="M273" s="43">
        <v>27114</v>
      </c>
      <c r="N273" s="43">
        <v>45472</v>
      </c>
      <c r="O273" s="43">
        <v>109495</v>
      </c>
      <c r="P273" s="45">
        <v>0</v>
      </c>
      <c r="Q273" s="45">
        <v>2814.5599999999995</v>
      </c>
      <c r="R273" s="45">
        <v>2642.4700000000003</v>
      </c>
      <c r="S273" s="45">
        <v>4045.9999999999995</v>
      </c>
      <c r="T273" s="45">
        <v>1861.4899999999996</v>
      </c>
      <c r="U273" s="45">
        <v>992.68999999999983</v>
      </c>
      <c r="V273" s="45">
        <v>1797.74</v>
      </c>
      <c r="W273" s="45">
        <v>2444.5800000000004</v>
      </c>
    </row>
    <row r="274" spans="1:23" hidden="1" x14ac:dyDescent="0.25">
      <c r="A274" s="43">
        <v>4560</v>
      </c>
      <c r="B274" s="43">
        <v>6645</v>
      </c>
      <c r="C274" s="43" t="s">
        <v>476</v>
      </c>
      <c r="D274" s="43" t="s">
        <v>477</v>
      </c>
      <c r="E274" s="43" t="s">
        <v>429</v>
      </c>
      <c r="F274" s="43" t="s">
        <v>10</v>
      </c>
      <c r="G274" s="44" t="str">
        <f>IF(LEN(Table12_52_03[[#This Row],[Ledger Code]])&gt;3,"AR"&amp;Table12_52_03[[#This Row],[Ledger Code]],"TBC")</f>
        <v>AR6645</v>
      </c>
      <c r="H274" s="43">
        <v>0</v>
      </c>
      <c r="I274" s="43">
        <v>0</v>
      </c>
      <c r="J274" s="43">
        <v>0</v>
      </c>
      <c r="K274" s="43">
        <v>0</v>
      </c>
      <c r="L274" s="43">
        <v>0</v>
      </c>
      <c r="M274" s="43">
        <v>0</v>
      </c>
      <c r="N274" s="43">
        <v>1530</v>
      </c>
      <c r="O274" s="43">
        <v>1351</v>
      </c>
      <c r="P274" s="45">
        <v>0</v>
      </c>
      <c r="Q274" s="45">
        <v>113.09</v>
      </c>
      <c r="R274" s="45">
        <v>291.15000000000003</v>
      </c>
      <c r="S274" s="45">
        <v>-2.2737367544323206E-13</v>
      </c>
      <c r="T274" s="45">
        <v>-5.6843418860808015E-14</v>
      </c>
      <c r="U274" s="45">
        <v>1726.19</v>
      </c>
      <c r="V274" s="45">
        <v>71.370000000000033</v>
      </c>
      <c r="W274" s="45">
        <v>30.879999999999995</v>
      </c>
    </row>
    <row r="275" spans="1:23" hidden="1" x14ac:dyDescent="0.25">
      <c r="A275" s="43">
        <v>4584</v>
      </c>
      <c r="B275" s="43">
        <v>6598</v>
      </c>
      <c r="C275" s="43" t="s">
        <v>470</v>
      </c>
      <c r="D275" s="43" t="s">
        <v>471</v>
      </c>
      <c r="E275" s="43" t="s">
        <v>429</v>
      </c>
      <c r="F275" s="43" t="s">
        <v>10</v>
      </c>
      <c r="G275" s="44" t="str">
        <f>IF(LEN(Table12_52_03[[#This Row],[Ledger Code]])&gt;3,"AR"&amp;Table12_52_03[[#This Row],[Ledger Code]],"TBC")</f>
        <v>AR6598</v>
      </c>
      <c r="H275" s="43">
        <v>42990</v>
      </c>
      <c r="I275" s="43">
        <v>41604</v>
      </c>
      <c r="J275" s="43">
        <v>51904</v>
      </c>
      <c r="K275" s="43">
        <v>132172</v>
      </c>
      <c r="L275" s="43">
        <v>20443</v>
      </c>
      <c r="M275" s="43">
        <v>40030</v>
      </c>
      <c r="N275" s="43">
        <v>47981</v>
      </c>
      <c r="O275" s="43">
        <v>119128</v>
      </c>
      <c r="P275" s="45">
        <v>0</v>
      </c>
      <c r="Q275" s="45">
        <v>2873.04</v>
      </c>
      <c r="R275" s="45">
        <v>2910.85</v>
      </c>
      <c r="S275" s="45">
        <v>4090.9300000000003</v>
      </c>
      <c r="T275" s="45">
        <v>2014.06</v>
      </c>
      <c r="U275" s="45">
        <v>1455.1099999999997</v>
      </c>
      <c r="V275" s="45">
        <v>1948.4200000000005</v>
      </c>
      <c r="W275" s="45">
        <v>2735.12</v>
      </c>
    </row>
    <row r="276" spans="1:23" hidden="1" x14ac:dyDescent="0.25">
      <c r="A276" s="43">
        <v>4540</v>
      </c>
      <c r="B276" s="43">
        <v>6557</v>
      </c>
      <c r="C276" s="43" t="s">
        <v>480</v>
      </c>
      <c r="D276" s="43" t="s">
        <v>481</v>
      </c>
      <c r="E276" s="43" t="s">
        <v>429</v>
      </c>
      <c r="F276" s="43" t="s">
        <v>10</v>
      </c>
      <c r="G276" s="44" t="str">
        <f>IF(LEN(Table12_52_03[[#This Row],[Ledger Code]])&gt;3,"AR"&amp;Table12_52_03[[#This Row],[Ledger Code]],"TBC")</f>
        <v>AR6557</v>
      </c>
      <c r="H276" s="43">
        <v>0</v>
      </c>
      <c r="I276" s="43">
        <v>0</v>
      </c>
      <c r="J276" s="43">
        <v>0</v>
      </c>
      <c r="K276" s="43">
        <v>0</v>
      </c>
      <c r="L276" s="43">
        <v>0</v>
      </c>
      <c r="M276" s="43">
        <v>0</v>
      </c>
      <c r="N276" s="43">
        <v>0</v>
      </c>
      <c r="O276" s="43">
        <v>0</v>
      </c>
      <c r="P276" s="45">
        <v>0</v>
      </c>
      <c r="Q276" s="45">
        <v>0</v>
      </c>
      <c r="R276" s="45">
        <v>0</v>
      </c>
      <c r="S276" s="45">
        <v>0</v>
      </c>
      <c r="T276" s="45">
        <v>0</v>
      </c>
      <c r="U276" s="45">
        <v>0</v>
      </c>
      <c r="V276" s="45">
        <v>0</v>
      </c>
      <c r="W276" s="45">
        <v>0</v>
      </c>
    </row>
    <row r="277" spans="1:23" hidden="1" x14ac:dyDescent="0.25">
      <c r="A277" s="43">
        <v>4550</v>
      </c>
      <c r="B277" s="43">
        <v>6635</v>
      </c>
      <c r="C277" s="43" t="s">
        <v>482</v>
      </c>
      <c r="D277" s="43" t="s">
        <v>483</v>
      </c>
      <c r="E277" s="43" t="s">
        <v>429</v>
      </c>
      <c r="F277" s="43" t="s">
        <v>10</v>
      </c>
      <c r="G277" s="44" t="str">
        <f>IF(LEN(Table12_52_03[[#This Row],[Ledger Code]])&gt;3,"AR"&amp;Table12_52_03[[#This Row],[Ledger Code]],"TBC")</f>
        <v>AR6635</v>
      </c>
      <c r="H277" s="43">
        <v>0</v>
      </c>
      <c r="I277" s="43">
        <v>0</v>
      </c>
      <c r="J277" s="43">
        <v>0</v>
      </c>
      <c r="K277" s="43">
        <v>0</v>
      </c>
      <c r="L277" s="43">
        <v>172</v>
      </c>
      <c r="M277" s="43">
        <v>5331</v>
      </c>
      <c r="N277" s="43">
        <v>12639</v>
      </c>
      <c r="O277" s="43">
        <v>23567</v>
      </c>
      <c r="P277" s="45">
        <v>0</v>
      </c>
      <c r="Q277" s="45">
        <v>1121.71</v>
      </c>
      <c r="R277" s="45">
        <v>-2.2737367544323206E-13</v>
      </c>
      <c r="S277" s="45">
        <v>103.44000000000091</v>
      </c>
      <c r="T277" s="45">
        <v>61.680000000000291</v>
      </c>
      <c r="U277" s="45">
        <v>754.6500000000018</v>
      </c>
      <c r="V277" s="45">
        <v>6699.9000000000005</v>
      </c>
      <c r="W277" s="45">
        <v>3640.3599999999997</v>
      </c>
    </row>
    <row r="278" spans="1:23" hidden="1" x14ac:dyDescent="0.25">
      <c r="A278" s="43">
        <v>694</v>
      </c>
      <c r="B278" s="43">
        <v>5469</v>
      </c>
      <c r="C278" s="43" t="s">
        <v>485</v>
      </c>
      <c r="D278" s="43" t="s">
        <v>486</v>
      </c>
      <c r="E278" s="43" t="s">
        <v>429</v>
      </c>
      <c r="F278" s="43" t="s">
        <v>10</v>
      </c>
      <c r="G278" s="44" t="str">
        <f>IF(LEN(Table12_52_03[[#This Row],[Ledger Code]])&gt;3,"AR"&amp;Table12_52_03[[#This Row],[Ledger Code]],"TBC")</f>
        <v>AR5469</v>
      </c>
      <c r="H278" s="43">
        <v>0</v>
      </c>
      <c r="I278" s="43">
        <v>0</v>
      </c>
      <c r="J278" s="43">
        <v>0</v>
      </c>
      <c r="K278" s="43">
        <v>0</v>
      </c>
      <c r="L278" s="43">
        <v>0</v>
      </c>
      <c r="M278" s="43">
        <v>0</v>
      </c>
      <c r="N278" s="43">
        <v>0</v>
      </c>
      <c r="O278" s="43">
        <v>0</v>
      </c>
      <c r="P278" s="45">
        <v>0</v>
      </c>
      <c r="Q278" s="45">
        <v>0</v>
      </c>
      <c r="R278" s="45">
        <v>0</v>
      </c>
      <c r="S278" s="45">
        <v>0</v>
      </c>
      <c r="T278" s="45">
        <v>0</v>
      </c>
      <c r="U278" s="45">
        <v>0</v>
      </c>
      <c r="V278" s="45">
        <v>0</v>
      </c>
      <c r="W278" s="45">
        <v>0</v>
      </c>
    </row>
    <row r="279" spans="1:23" hidden="1" x14ac:dyDescent="0.25">
      <c r="A279" s="43">
        <v>753</v>
      </c>
      <c r="B279" s="43">
        <v>5522</v>
      </c>
      <c r="C279" s="43" t="s">
        <v>474</v>
      </c>
      <c r="D279" s="43" t="s">
        <v>475</v>
      </c>
      <c r="E279" s="43" t="s">
        <v>429</v>
      </c>
      <c r="F279" s="43" t="s">
        <v>10</v>
      </c>
      <c r="G279" s="44" t="str">
        <f>IF(LEN(Table12_52_03[[#This Row],[Ledger Code]])&gt;3,"AR"&amp;Table12_52_03[[#This Row],[Ledger Code]],"TBC")</f>
        <v>AR5522</v>
      </c>
      <c r="H279" s="43">
        <v>96817</v>
      </c>
      <c r="I279" s="43">
        <v>0</v>
      </c>
      <c r="J279" s="43">
        <v>202249</v>
      </c>
      <c r="K279" s="43">
        <v>0</v>
      </c>
      <c r="L279" s="43">
        <v>543296</v>
      </c>
      <c r="M279" s="43">
        <v>102104</v>
      </c>
      <c r="N279" s="43">
        <v>140276</v>
      </c>
      <c r="O279" s="43">
        <v>302293</v>
      </c>
      <c r="P279" s="45">
        <v>0</v>
      </c>
      <c r="Q279" s="45">
        <v>3767.9899999999993</v>
      </c>
      <c r="R279" s="45">
        <v>6860.2599999999993</v>
      </c>
      <c r="S279" s="45">
        <v>375.16000000000076</v>
      </c>
      <c r="T279" s="45">
        <v>1779.0199999999998</v>
      </c>
      <c r="U279" s="45">
        <v>15882.29</v>
      </c>
      <c r="V279" s="45">
        <v>-1564.6600000000026</v>
      </c>
      <c r="W279" s="45">
        <v>6350.5400000000009</v>
      </c>
    </row>
    <row r="280" spans="1:23" hidden="1" x14ac:dyDescent="0.25">
      <c r="A280" s="43">
        <v>118</v>
      </c>
      <c r="B280" s="43">
        <v>5060</v>
      </c>
      <c r="C280" s="43" t="s">
        <v>487</v>
      </c>
      <c r="D280" s="43" t="s">
        <v>488</v>
      </c>
      <c r="E280" s="43" t="s">
        <v>429</v>
      </c>
      <c r="F280" s="43" t="s">
        <v>10</v>
      </c>
      <c r="G280" s="44" t="str">
        <f>IF(LEN(Table12_52_03[[#This Row],[Ledger Code]])&gt;3,"AR"&amp;Table12_52_03[[#This Row],[Ledger Code]],"TBC")</f>
        <v>AR5060</v>
      </c>
      <c r="H280" s="43">
        <v>0</v>
      </c>
      <c r="I280" s="43">
        <v>7093</v>
      </c>
      <c r="J280" s="43">
        <v>34070</v>
      </c>
      <c r="K280" s="43">
        <v>15765</v>
      </c>
      <c r="L280" s="43">
        <v>46641</v>
      </c>
      <c r="M280" s="43">
        <v>3220</v>
      </c>
      <c r="N280" s="43">
        <v>13340</v>
      </c>
      <c r="O280" s="43">
        <v>17208</v>
      </c>
      <c r="P280" s="45">
        <v>85.05</v>
      </c>
      <c r="Q280" s="45">
        <v>0</v>
      </c>
      <c r="R280" s="45">
        <v>0</v>
      </c>
      <c r="S280" s="45">
        <v>6.8212102632969618E-13</v>
      </c>
      <c r="T280" s="45">
        <v>0</v>
      </c>
      <c r="U280" s="45">
        <v>3227.5900000000006</v>
      </c>
      <c r="V280" s="45">
        <v>4314.1499999999996</v>
      </c>
      <c r="W280" s="45">
        <v>447.37</v>
      </c>
    </row>
    <row r="281" spans="1:23" hidden="1" x14ac:dyDescent="0.25">
      <c r="A281" s="43">
        <v>133</v>
      </c>
      <c r="B281" s="43">
        <v>5090</v>
      </c>
      <c r="C281" s="43" t="s">
        <v>489</v>
      </c>
      <c r="D281" s="43" t="s">
        <v>490</v>
      </c>
      <c r="E281" s="43" t="s">
        <v>429</v>
      </c>
      <c r="F281" s="43" t="s">
        <v>10</v>
      </c>
      <c r="G281" s="44" t="str">
        <f>IF(LEN(Table12_52_03[[#This Row],[Ledger Code]])&gt;3,"AR"&amp;Table12_52_03[[#This Row],[Ledger Code]],"TBC")</f>
        <v>AR5090</v>
      </c>
      <c r="H281" s="43">
        <v>0</v>
      </c>
      <c r="I281" s="43">
        <v>0</v>
      </c>
      <c r="J281" s="43">
        <v>0</v>
      </c>
      <c r="K281" s="43">
        <v>0</v>
      </c>
      <c r="L281" s="43">
        <v>0</v>
      </c>
      <c r="M281" s="43">
        <v>0</v>
      </c>
      <c r="N281" s="43">
        <v>0</v>
      </c>
      <c r="O281" s="43">
        <v>0</v>
      </c>
      <c r="P281" s="45">
        <v>0</v>
      </c>
      <c r="Q281" s="45">
        <v>0</v>
      </c>
      <c r="R281" s="45">
        <v>0</v>
      </c>
      <c r="S281" s="45">
        <v>0</v>
      </c>
      <c r="T281" s="45">
        <v>0</v>
      </c>
      <c r="U281" s="45">
        <v>0</v>
      </c>
      <c r="V281" s="45">
        <v>0</v>
      </c>
      <c r="W281" s="45">
        <v>0</v>
      </c>
    </row>
    <row r="282" spans="1:23" hidden="1" x14ac:dyDescent="0.25">
      <c r="A282" s="43" t="s">
        <v>628</v>
      </c>
      <c r="B282" s="43" t="s">
        <v>387</v>
      </c>
      <c r="C282" s="43" t="s">
        <v>491</v>
      </c>
      <c r="D282" s="43" t="s">
        <v>492</v>
      </c>
      <c r="E282" s="43" t="s">
        <v>429</v>
      </c>
      <c r="F282" s="43" t="s">
        <v>10</v>
      </c>
      <c r="G282" s="44" t="str">
        <f>IF(LEN(Table12_52_03[[#This Row],[Ledger Code]])&gt;3,"AR"&amp;Table12_52_03[[#This Row],[Ledger Code]],"TBC")</f>
        <v>TBC</v>
      </c>
      <c r="H282" s="43">
        <v>0</v>
      </c>
      <c r="I282" s="43">
        <v>0</v>
      </c>
      <c r="J282" s="43">
        <v>0</v>
      </c>
      <c r="K282" s="43">
        <v>0</v>
      </c>
      <c r="L282" s="43">
        <v>0</v>
      </c>
      <c r="M282" s="43">
        <v>0</v>
      </c>
      <c r="N282" s="43">
        <v>0</v>
      </c>
      <c r="O282" s="43">
        <v>0</v>
      </c>
      <c r="P282" s="45">
        <v>0</v>
      </c>
      <c r="Q282" s="45">
        <v>0</v>
      </c>
      <c r="R282" s="45">
        <v>0</v>
      </c>
      <c r="S282" s="45">
        <v>0</v>
      </c>
      <c r="T282" s="45">
        <v>0</v>
      </c>
      <c r="U282" s="45">
        <v>0</v>
      </c>
      <c r="V282" s="45">
        <v>0</v>
      </c>
      <c r="W282" s="45">
        <v>0</v>
      </c>
    </row>
    <row r="283" spans="1:23" hidden="1" x14ac:dyDescent="0.25">
      <c r="A283" s="43">
        <v>227</v>
      </c>
      <c r="B283" s="43">
        <v>5028</v>
      </c>
      <c r="C283" s="43" t="s">
        <v>493</v>
      </c>
      <c r="D283" s="43" t="s">
        <v>494</v>
      </c>
      <c r="E283" s="43" t="s">
        <v>429</v>
      </c>
      <c r="F283" s="43" t="s">
        <v>10</v>
      </c>
      <c r="G283" s="44" t="str">
        <f>IF(LEN(Table12_52_03[[#This Row],[Ledger Code]])&gt;3,"AR"&amp;Table12_52_03[[#This Row],[Ledger Code]],"TBC")</f>
        <v>AR5028</v>
      </c>
      <c r="H283" s="43">
        <v>0</v>
      </c>
      <c r="I283" s="43">
        <v>0</v>
      </c>
      <c r="J283" s="43">
        <v>0</v>
      </c>
      <c r="K283" s="43">
        <v>0</v>
      </c>
      <c r="L283" s="43">
        <v>0</v>
      </c>
      <c r="M283" s="43">
        <v>0</v>
      </c>
      <c r="N283" s="43">
        <v>0</v>
      </c>
      <c r="O283" s="43">
        <v>0</v>
      </c>
      <c r="P283" s="45">
        <v>0</v>
      </c>
      <c r="Q283" s="45">
        <v>0</v>
      </c>
      <c r="R283" s="45">
        <v>0</v>
      </c>
      <c r="S283" s="45">
        <v>0</v>
      </c>
      <c r="T283" s="45">
        <v>0</v>
      </c>
      <c r="U283" s="45">
        <v>0</v>
      </c>
      <c r="V283" s="45">
        <v>0</v>
      </c>
      <c r="W283" s="45">
        <v>0</v>
      </c>
    </row>
    <row r="284" spans="1:23" hidden="1" x14ac:dyDescent="0.25">
      <c r="A284" s="43">
        <v>3961</v>
      </c>
      <c r="B284" s="43">
        <v>7074</v>
      </c>
      <c r="C284" s="43" t="s">
        <v>406</v>
      </c>
      <c r="D284" s="43" t="s">
        <v>219</v>
      </c>
      <c r="E284" s="43" t="s">
        <v>220</v>
      </c>
      <c r="F284" s="43" t="s">
        <v>221</v>
      </c>
      <c r="G284" s="44" t="str">
        <f>IF(LEN(Table12_52_03[[#This Row],[Ledger Code]])&gt;3,"AR"&amp;Table12_52_03[[#This Row],[Ledger Code]],"TBC")</f>
        <v>AR7074</v>
      </c>
      <c r="H284" s="43">
        <v>0</v>
      </c>
      <c r="I284" s="43">
        <v>0</v>
      </c>
      <c r="J284" s="43">
        <v>0</v>
      </c>
      <c r="K284" s="43">
        <v>0</v>
      </c>
      <c r="L284" s="43">
        <v>0</v>
      </c>
      <c r="M284" s="43">
        <v>0</v>
      </c>
      <c r="N284" s="43">
        <v>0</v>
      </c>
      <c r="O284" s="43">
        <v>0</v>
      </c>
      <c r="P284" s="45">
        <v>0</v>
      </c>
      <c r="Q284" s="45">
        <v>0</v>
      </c>
      <c r="R284" s="45">
        <v>0</v>
      </c>
      <c r="S284" s="45">
        <v>0</v>
      </c>
      <c r="T284" s="45">
        <v>0</v>
      </c>
      <c r="U284" s="45">
        <v>0</v>
      </c>
      <c r="V284" s="45">
        <v>0</v>
      </c>
      <c r="W284" s="45">
        <v>0</v>
      </c>
    </row>
    <row r="285" spans="1:23" hidden="1" x14ac:dyDescent="0.25">
      <c r="A285" s="43">
        <v>4029</v>
      </c>
      <c r="B285" s="43">
        <v>7229</v>
      </c>
      <c r="C285" s="43" t="s">
        <v>407</v>
      </c>
      <c r="D285" s="43" t="s">
        <v>408</v>
      </c>
      <c r="E285" s="43" t="s">
        <v>220</v>
      </c>
      <c r="F285" s="43" t="s">
        <v>221</v>
      </c>
      <c r="G285" s="44" t="str">
        <f>IF(LEN(Table12_52_03[[#This Row],[Ledger Code]])&gt;3,"AR"&amp;Table12_52_03[[#This Row],[Ledger Code]],"TBC")</f>
        <v>AR7229</v>
      </c>
      <c r="H285" s="43">
        <v>0</v>
      </c>
      <c r="I285" s="43">
        <v>0</v>
      </c>
      <c r="J285" s="43">
        <v>0</v>
      </c>
      <c r="K285" s="43">
        <v>0</v>
      </c>
      <c r="L285" s="43">
        <v>0</v>
      </c>
      <c r="M285" s="43">
        <v>0</v>
      </c>
      <c r="N285" s="43">
        <v>0</v>
      </c>
      <c r="O285" s="43">
        <v>0</v>
      </c>
      <c r="P285" s="45">
        <v>0</v>
      </c>
      <c r="Q285" s="45">
        <v>0</v>
      </c>
      <c r="R285" s="45">
        <v>0</v>
      </c>
      <c r="S285" s="45">
        <v>0</v>
      </c>
      <c r="T285" s="45">
        <v>0</v>
      </c>
      <c r="U285" s="45">
        <v>0</v>
      </c>
      <c r="V285" s="45">
        <v>0</v>
      </c>
      <c r="W285" s="45">
        <v>0</v>
      </c>
    </row>
    <row r="286" spans="1:23" hidden="1" x14ac:dyDescent="0.25">
      <c r="A286" s="43">
        <v>4003</v>
      </c>
      <c r="B286" s="43">
        <v>7148</v>
      </c>
      <c r="C286" s="43" t="s">
        <v>409</v>
      </c>
      <c r="D286" s="43" t="s">
        <v>410</v>
      </c>
      <c r="E286" s="43" t="s">
        <v>220</v>
      </c>
      <c r="F286" s="43" t="s">
        <v>221</v>
      </c>
      <c r="G286" s="44" t="str">
        <f>IF(LEN(Table12_52_03[[#This Row],[Ledger Code]])&gt;3,"AR"&amp;Table12_52_03[[#This Row],[Ledger Code]],"TBC")</f>
        <v>AR7148</v>
      </c>
      <c r="H286" s="43">
        <v>0</v>
      </c>
      <c r="I286" s="43">
        <v>0</v>
      </c>
      <c r="J286" s="43">
        <v>0</v>
      </c>
      <c r="K286" s="43">
        <v>0</v>
      </c>
      <c r="L286" s="43">
        <v>0</v>
      </c>
      <c r="M286" s="43">
        <v>0</v>
      </c>
      <c r="N286" s="43">
        <v>0</v>
      </c>
      <c r="O286" s="43">
        <v>0</v>
      </c>
      <c r="P286" s="45">
        <v>0</v>
      </c>
      <c r="Q286" s="45">
        <v>0</v>
      </c>
      <c r="R286" s="45">
        <v>0</v>
      </c>
      <c r="S286" s="45">
        <v>0</v>
      </c>
      <c r="T286" s="45">
        <v>0</v>
      </c>
      <c r="U286" s="45">
        <v>0</v>
      </c>
      <c r="V286" s="45">
        <v>0</v>
      </c>
      <c r="W286" s="45">
        <v>0</v>
      </c>
    </row>
    <row r="287" spans="1:23" hidden="1" x14ac:dyDescent="0.25">
      <c r="A287" s="43">
        <v>3995</v>
      </c>
      <c r="B287" s="43">
        <v>7124</v>
      </c>
      <c r="C287" s="43" t="s">
        <v>411</v>
      </c>
      <c r="D287" s="43" t="s">
        <v>412</v>
      </c>
      <c r="E287" s="43" t="s">
        <v>220</v>
      </c>
      <c r="F287" s="43" t="s">
        <v>221</v>
      </c>
      <c r="G287" s="44" t="str">
        <f>IF(LEN(Table12_52_03[[#This Row],[Ledger Code]])&gt;3,"AR"&amp;Table12_52_03[[#This Row],[Ledger Code]],"TBC")</f>
        <v>AR7124</v>
      </c>
      <c r="H287" s="43">
        <v>0</v>
      </c>
      <c r="I287" s="43">
        <v>0</v>
      </c>
      <c r="J287" s="43">
        <v>0</v>
      </c>
      <c r="K287" s="43">
        <v>0</v>
      </c>
      <c r="L287" s="43">
        <v>0</v>
      </c>
      <c r="M287" s="43">
        <v>0</v>
      </c>
      <c r="N287" s="43">
        <v>0</v>
      </c>
      <c r="O287" s="43">
        <v>0</v>
      </c>
      <c r="P287" s="45">
        <v>0</v>
      </c>
      <c r="Q287" s="45">
        <v>23102.440000000002</v>
      </c>
      <c r="R287" s="45">
        <v>14285.46</v>
      </c>
      <c r="S287" s="45">
        <v>3927.820000000002</v>
      </c>
      <c r="T287" s="45">
        <v>1511.51</v>
      </c>
      <c r="U287" s="45">
        <v>1222.0600000000049</v>
      </c>
      <c r="V287" s="45">
        <v>0</v>
      </c>
      <c r="W287" s="45">
        <v>27041.040000000015</v>
      </c>
    </row>
    <row r="288" spans="1:23" hidden="1" x14ac:dyDescent="0.25">
      <c r="A288" s="43">
        <v>3934</v>
      </c>
      <c r="B288" s="43">
        <v>7000</v>
      </c>
      <c r="C288" s="43" t="s">
        <v>413</v>
      </c>
      <c r="D288" s="43" t="s">
        <v>414</v>
      </c>
      <c r="E288" s="43" t="s">
        <v>220</v>
      </c>
      <c r="F288" s="43" t="s">
        <v>221</v>
      </c>
      <c r="G288" s="44" t="str">
        <f>IF(LEN(Table12_52_03[[#This Row],[Ledger Code]])&gt;3,"AR"&amp;Table12_52_03[[#This Row],[Ledger Code]],"TBC")</f>
        <v>AR7000</v>
      </c>
      <c r="H288" s="43">
        <v>176153</v>
      </c>
      <c r="I288" s="43">
        <v>107724</v>
      </c>
      <c r="J288" s="43">
        <v>224917</v>
      </c>
      <c r="K288" s="43">
        <v>249671</v>
      </c>
      <c r="L288" s="43">
        <v>154101</v>
      </c>
      <c r="M288" s="43">
        <v>77218</v>
      </c>
      <c r="N288" s="43">
        <v>244603</v>
      </c>
      <c r="O288" s="43">
        <v>187515</v>
      </c>
      <c r="P288" s="45">
        <v>0</v>
      </c>
      <c r="Q288" s="45">
        <v>9101.3499999999985</v>
      </c>
      <c r="R288" s="45">
        <v>6659.1800000000021</v>
      </c>
      <c r="S288" s="45">
        <v>9755.3200000000015</v>
      </c>
      <c r="T288" s="45">
        <v>2579.69</v>
      </c>
      <c r="U288" s="45">
        <v>0</v>
      </c>
      <c r="V288" s="45">
        <v>0</v>
      </c>
      <c r="W288" s="45">
        <v>0</v>
      </c>
    </row>
    <row r="289" spans="1:23" hidden="1" x14ac:dyDescent="0.25">
      <c r="A289" s="43">
        <v>4174</v>
      </c>
      <c r="B289" s="43">
        <v>7054</v>
      </c>
      <c r="C289" s="43" t="s">
        <v>415</v>
      </c>
      <c r="D289" s="43" t="s">
        <v>416</v>
      </c>
      <c r="E289" s="43" t="s">
        <v>220</v>
      </c>
      <c r="F289" s="43" t="s">
        <v>228</v>
      </c>
      <c r="G289" s="44" t="str">
        <f>IF(LEN(Table12_52_03[[#This Row],[Ledger Code]])&gt;3,"AR"&amp;Table12_52_03[[#This Row],[Ledger Code]],"TBC")</f>
        <v>AR7054</v>
      </c>
      <c r="H289" s="43">
        <v>0</v>
      </c>
      <c r="I289" s="43">
        <v>0</v>
      </c>
      <c r="J289" s="43">
        <v>0</v>
      </c>
      <c r="K289" s="43">
        <v>0</v>
      </c>
      <c r="L289" s="43">
        <v>0</v>
      </c>
      <c r="M289" s="43">
        <v>0</v>
      </c>
      <c r="N289" s="43">
        <v>0</v>
      </c>
      <c r="O289" s="43">
        <v>516676</v>
      </c>
      <c r="P289" s="45">
        <v>0</v>
      </c>
      <c r="Q289" s="45">
        <v>13371.42</v>
      </c>
      <c r="R289" s="45">
        <v>14312.080000000005</v>
      </c>
      <c r="S289" s="45">
        <v>30216.860000000004</v>
      </c>
      <c r="T289" s="45">
        <v>13525.329999999998</v>
      </c>
      <c r="U289" s="45">
        <v>2379.8699999999963</v>
      </c>
      <c r="V289" s="45">
        <v>18502.990000000005</v>
      </c>
      <c r="W289" s="45">
        <v>16814.440000000002</v>
      </c>
    </row>
    <row r="290" spans="1:23" hidden="1" x14ac:dyDescent="0.25">
      <c r="A290" s="43">
        <v>4231</v>
      </c>
      <c r="B290" s="43">
        <v>7453</v>
      </c>
      <c r="C290" s="43" t="s">
        <v>417</v>
      </c>
      <c r="D290" s="43" t="s">
        <v>418</v>
      </c>
      <c r="E290" s="43" t="s">
        <v>220</v>
      </c>
      <c r="F290" s="43" t="s">
        <v>228</v>
      </c>
      <c r="G290" s="44" t="str">
        <f>IF(LEN(Table12_52_03[[#This Row],[Ledger Code]])&gt;3,"AR"&amp;Table12_52_03[[#This Row],[Ledger Code]],"TBC")</f>
        <v>AR7453</v>
      </c>
      <c r="H290" s="43">
        <v>0</v>
      </c>
      <c r="I290" s="43">
        <v>0</v>
      </c>
      <c r="J290" s="43">
        <v>0</v>
      </c>
      <c r="K290" s="43">
        <v>0</v>
      </c>
      <c r="L290" s="43">
        <v>0</v>
      </c>
      <c r="M290" s="43">
        <v>0</v>
      </c>
      <c r="N290" s="43">
        <v>0</v>
      </c>
      <c r="O290" s="43">
        <v>0</v>
      </c>
      <c r="P290" s="45">
        <v>0</v>
      </c>
      <c r="Q290" s="45">
        <v>0</v>
      </c>
      <c r="R290" s="45">
        <v>0</v>
      </c>
      <c r="S290" s="45">
        <v>3037.25</v>
      </c>
      <c r="T290" s="45">
        <v>0</v>
      </c>
      <c r="U290" s="45">
        <v>0</v>
      </c>
      <c r="V290" s="45">
        <v>0</v>
      </c>
      <c r="W290" s="45">
        <v>0</v>
      </c>
    </row>
    <row r="291" spans="1:23" hidden="1" x14ac:dyDescent="0.25">
      <c r="A291" s="43">
        <v>4209</v>
      </c>
      <c r="B291" s="43">
        <v>7511</v>
      </c>
      <c r="C291" s="43" t="s">
        <v>419</v>
      </c>
      <c r="D291" s="43" t="s">
        <v>420</v>
      </c>
      <c r="E291" s="43" t="s">
        <v>220</v>
      </c>
      <c r="F291" s="43" t="s">
        <v>228</v>
      </c>
      <c r="G291" s="44" t="str">
        <f>IF(LEN(Table12_52_03[[#This Row],[Ledger Code]])&gt;3,"AR"&amp;Table12_52_03[[#This Row],[Ledger Code]],"TBC")</f>
        <v>AR7511</v>
      </c>
      <c r="H291" s="43">
        <v>0</v>
      </c>
      <c r="I291" s="43">
        <v>0</v>
      </c>
      <c r="J291" s="43">
        <v>0</v>
      </c>
      <c r="K291" s="43">
        <v>0</v>
      </c>
      <c r="L291" s="43">
        <v>0</v>
      </c>
      <c r="M291" s="43">
        <v>0</v>
      </c>
      <c r="N291" s="43">
        <v>0</v>
      </c>
      <c r="O291" s="43">
        <v>0</v>
      </c>
      <c r="P291" s="45">
        <v>0</v>
      </c>
      <c r="Q291" s="45">
        <v>0</v>
      </c>
      <c r="R291" s="45">
        <v>0</v>
      </c>
      <c r="S291" s="45">
        <v>0</v>
      </c>
      <c r="T291" s="45">
        <v>0</v>
      </c>
      <c r="U291" s="45">
        <v>0</v>
      </c>
      <c r="V291" s="45">
        <v>0</v>
      </c>
      <c r="W291" s="45">
        <v>0</v>
      </c>
    </row>
    <row r="292" spans="1:23" hidden="1" x14ac:dyDescent="0.25">
      <c r="A292" s="43">
        <v>4665</v>
      </c>
      <c r="B292" s="43">
        <v>7509</v>
      </c>
      <c r="C292" s="43" t="s">
        <v>421</v>
      </c>
      <c r="D292" s="43" t="s">
        <v>422</v>
      </c>
      <c r="E292" s="43" t="s">
        <v>220</v>
      </c>
      <c r="F292" s="43" t="s">
        <v>244</v>
      </c>
      <c r="G292" s="44" t="str">
        <f>IF(LEN(Table12_52_03[[#This Row],[Ledger Code]])&gt;3,"AR"&amp;Table12_52_03[[#This Row],[Ledger Code]],"TBC")</f>
        <v>AR7509</v>
      </c>
      <c r="H292" s="43">
        <v>0</v>
      </c>
      <c r="I292" s="43">
        <v>18327</v>
      </c>
      <c r="J292" s="43">
        <v>84350</v>
      </c>
      <c r="K292" s="43">
        <v>238319</v>
      </c>
      <c r="L292" s="43">
        <v>61126</v>
      </c>
      <c r="M292" s="43">
        <v>24465</v>
      </c>
      <c r="N292" s="43">
        <v>128603</v>
      </c>
      <c r="O292" s="43">
        <v>122637</v>
      </c>
      <c r="P292" s="45">
        <v>0</v>
      </c>
      <c r="Q292" s="45">
        <v>0</v>
      </c>
      <c r="R292" s="45">
        <v>1293.98</v>
      </c>
      <c r="S292" s="45">
        <v>-894</v>
      </c>
      <c r="T292" s="45">
        <v>9246.07</v>
      </c>
      <c r="U292" s="45">
        <v>9743.66</v>
      </c>
      <c r="V292" s="45">
        <v>3599.2300000000005</v>
      </c>
      <c r="W292" s="45">
        <v>3983.29</v>
      </c>
    </row>
    <row r="293" spans="1:23" hidden="1" x14ac:dyDescent="0.25">
      <c r="A293" s="43">
        <v>4657</v>
      </c>
      <c r="B293" s="43">
        <v>7825</v>
      </c>
      <c r="C293" s="43" t="s">
        <v>423</v>
      </c>
      <c r="D293" s="43" t="s">
        <v>424</v>
      </c>
      <c r="E293" s="43" t="s">
        <v>220</v>
      </c>
      <c r="F293" s="43" t="s">
        <v>244</v>
      </c>
      <c r="G293" s="44" t="str">
        <f>IF(LEN(Table12_52_03[[#This Row],[Ledger Code]])&gt;3,"AR"&amp;Table12_52_03[[#This Row],[Ledger Code]],"TBC")</f>
        <v>AR7825</v>
      </c>
      <c r="H293" s="43">
        <v>19190</v>
      </c>
      <c r="I293" s="43">
        <v>21642</v>
      </c>
      <c r="J293" s="43">
        <v>30221</v>
      </c>
      <c r="K293" s="43">
        <v>50175</v>
      </c>
      <c r="L293" s="43">
        <v>29247</v>
      </c>
      <c r="M293" s="43">
        <v>16960</v>
      </c>
      <c r="N293" s="43">
        <v>24900</v>
      </c>
      <c r="O293" s="43">
        <v>52242</v>
      </c>
      <c r="P293" s="45">
        <v>0</v>
      </c>
      <c r="Q293" s="45">
        <v>2289.4899999999998</v>
      </c>
      <c r="R293" s="45">
        <v>3295.8199999999997</v>
      </c>
      <c r="S293" s="45">
        <v>3929.08</v>
      </c>
      <c r="T293" s="45">
        <v>-3441.5100000000007</v>
      </c>
      <c r="U293" s="45">
        <v>561.45000000000005</v>
      </c>
      <c r="V293" s="45">
        <v>1025.1500000000001</v>
      </c>
      <c r="W293" s="45">
        <v>1209.7400000000002</v>
      </c>
    </row>
    <row r="294" spans="1:23" hidden="1" x14ac:dyDescent="0.25">
      <c r="A294" s="43">
        <v>5971</v>
      </c>
      <c r="B294" s="43" t="s">
        <v>387</v>
      </c>
      <c r="C294" s="43" t="s">
        <v>425</v>
      </c>
      <c r="D294" s="43" t="s">
        <v>426</v>
      </c>
      <c r="E294" s="43" t="s">
        <v>220</v>
      </c>
      <c r="F294" s="43" t="s">
        <v>244</v>
      </c>
      <c r="G294" s="44" t="str">
        <f>IF(LEN(Table12_52_03[[#This Row],[Ledger Code]])&gt;3,"AR"&amp;Table12_52_03[[#This Row],[Ledger Code]],"TBC")</f>
        <v>TBC</v>
      </c>
      <c r="H294" s="43">
        <v>0</v>
      </c>
      <c r="I294" s="43">
        <v>0</v>
      </c>
      <c r="J294" s="43">
        <v>0</v>
      </c>
      <c r="K294" s="43">
        <v>0</v>
      </c>
      <c r="L294" s="43">
        <v>0</v>
      </c>
      <c r="M294" s="43">
        <v>0</v>
      </c>
      <c r="N294" s="43">
        <v>0</v>
      </c>
      <c r="O294" s="43">
        <v>0</v>
      </c>
      <c r="P294" s="45">
        <v>0</v>
      </c>
      <c r="Q294" s="45">
        <v>0</v>
      </c>
      <c r="R294" s="45">
        <v>0</v>
      </c>
      <c r="S294" s="45">
        <v>0</v>
      </c>
      <c r="T294" s="45">
        <v>0</v>
      </c>
      <c r="U294" s="45">
        <v>0</v>
      </c>
      <c r="V294" s="45">
        <v>0</v>
      </c>
      <c r="W294" s="45">
        <v>0</v>
      </c>
    </row>
    <row r="295" spans="1:23" hidden="1" x14ac:dyDescent="0.25">
      <c r="A295" s="43">
        <v>665</v>
      </c>
      <c r="B295" s="43">
        <v>5286</v>
      </c>
      <c r="C295" s="43" t="s">
        <v>4343</v>
      </c>
      <c r="D295" s="43" t="s">
        <v>4344</v>
      </c>
      <c r="E295" s="43" t="s">
        <v>9</v>
      </c>
      <c r="F295" s="43" t="s">
        <v>10</v>
      </c>
      <c r="G295" s="44" t="str">
        <f>IF(LEN(Table12_52_03[[#This Row],[Ledger Code]])&gt;3,"AR"&amp;Table12_52_03[[#This Row],[Ledger Code]],"TBC")</f>
        <v>AR5286</v>
      </c>
      <c r="H295" s="43">
        <v>0</v>
      </c>
      <c r="I295" s="43">
        <v>0</v>
      </c>
      <c r="J295" s="43">
        <v>0</v>
      </c>
      <c r="K295" s="43">
        <v>0</v>
      </c>
      <c r="L295" s="43">
        <v>0</v>
      </c>
      <c r="M295" s="43">
        <v>0</v>
      </c>
      <c r="N295" s="43">
        <v>0</v>
      </c>
      <c r="O295" s="43">
        <v>0</v>
      </c>
      <c r="P295" s="45">
        <v>0</v>
      </c>
      <c r="Q295" s="45">
        <v>0</v>
      </c>
      <c r="R295" s="45">
        <v>0</v>
      </c>
      <c r="S295" s="45">
        <v>0</v>
      </c>
      <c r="T295" s="45">
        <v>8128.8400000000011</v>
      </c>
      <c r="U295" s="45">
        <v>0</v>
      </c>
      <c r="V295" s="45">
        <v>-8128.84</v>
      </c>
      <c r="W295" s="45">
        <v>0</v>
      </c>
    </row>
    <row r="296" spans="1:23" hidden="1" x14ac:dyDescent="0.25">
      <c r="A296" s="91">
        <v>3564</v>
      </c>
      <c r="B296" s="91">
        <v>6470</v>
      </c>
      <c r="C296" s="91" t="s">
        <v>4345</v>
      </c>
      <c r="D296" s="91" t="s">
        <v>4346</v>
      </c>
      <c r="E296" s="91" t="s">
        <v>9</v>
      </c>
      <c r="F296" s="91" t="s">
        <v>83</v>
      </c>
      <c r="G296" s="93" t="str">
        <f>IF(LEN(Table12_52_03[[#This Row],[Ledger Code]])&gt;3,"AR"&amp;Table12_52_03[[#This Row],[Ledger Code]],"TBC")</f>
        <v>AR6470</v>
      </c>
      <c r="H296" s="91">
        <v>24503</v>
      </c>
      <c r="I296" s="91">
        <v>24589</v>
      </c>
      <c r="J296" s="91">
        <v>34274</v>
      </c>
      <c r="K296" s="91">
        <v>79805</v>
      </c>
      <c r="L296" s="91">
        <v>34502</v>
      </c>
      <c r="M296" s="91">
        <v>32936</v>
      </c>
      <c r="N296" s="91">
        <v>39275</v>
      </c>
      <c r="O296" s="91">
        <v>74351</v>
      </c>
      <c r="P296" s="92">
        <v>0</v>
      </c>
      <c r="Q296" s="92">
        <v>2111.5700000000002</v>
      </c>
      <c r="R296" s="92">
        <v>1438.1</v>
      </c>
      <c r="S296" s="92">
        <v>2881.9199999999996</v>
      </c>
      <c r="T296" s="92">
        <v>1347.53</v>
      </c>
      <c r="U296" s="92">
        <v>747.30000000000007</v>
      </c>
      <c r="V296" s="92">
        <v>1446.3799999999999</v>
      </c>
      <c r="W296" s="92">
        <v>1806.52</v>
      </c>
    </row>
  </sheetData>
  <mergeCells count="2">
    <mergeCell ref="H1:O1"/>
    <mergeCell ref="P1:W1"/>
  </mergeCells>
  <pageMargins left="0.7" right="0.7" top="0.75" bottom="0.75" header="0.3" footer="0.3"/>
  <pageSetup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301"/>
  <sheetViews>
    <sheetView topLeftCell="Q1" workbookViewId="0">
      <selection activeCell="W300" sqref="W300"/>
    </sheetView>
  </sheetViews>
  <sheetFormatPr defaultColWidth="37.42578125" defaultRowHeight="15" x14ac:dyDescent="0.25"/>
  <cols>
    <col min="1" max="1" width="10.42578125" bestFit="1" customWidth="1"/>
    <col min="2" max="2" width="15.85546875" bestFit="1" customWidth="1"/>
    <col min="3" max="3" width="54.140625" customWidth="1"/>
    <col min="4" max="4" width="11.85546875" bestFit="1" customWidth="1"/>
    <col min="5" max="5" width="14.140625" bestFit="1" customWidth="1"/>
    <col min="6" max="6" width="28.42578125" bestFit="1" customWidth="1"/>
    <col min="7" max="7" width="15.140625" customWidth="1"/>
    <col min="8" max="15" width="14.140625" bestFit="1" customWidth="1"/>
    <col min="16" max="23" width="16.5703125" bestFit="1" customWidth="1"/>
    <col min="24" max="24" width="19" customWidth="1"/>
  </cols>
  <sheetData>
    <row r="1" spans="1:23" x14ac:dyDescent="0.25">
      <c r="H1" s="294" t="s">
        <v>638</v>
      </c>
      <c r="I1" s="294"/>
      <c r="J1" s="294"/>
      <c r="K1" s="294"/>
      <c r="L1" s="294"/>
      <c r="M1" s="294"/>
      <c r="N1" s="294"/>
      <c r="O1" s="294"/>
      <c r="P1" s="294" t="s">
        <v>637</v>
      </c>
      <c r="Q1" s="294"/>
      <c r="R1" s="294"/>
      <c r="S1" s="294"/>
      <c r="T1" s="294"/>
      <c r="U1" s="294"/>
      <c r="V1" s="294"/>
      <c r="W1" s="294"/>
    </row>
    <row r="2" spans="1:23" ht="30" x14ac:dyDescent="0.25">
      <c r="A2" s="1" t="s">
        <v>0</v>
      </c>
      <c r="B2" s="2" t="s">
        <v>1</v>
      </c>
      <c r="C2" s="2" t="s">
        <v>2</v>
      </c>
      <c r="D2" s="13" t="s">
        <v>3</v>
      </c>
      <c r="E2" s="13" t="s">
        <v>4</v>
      </c>
      <c r="F2" s="13" t="s">
        <v>5</v>
      </c>
      <c r="G2" s="3" t="s">
        <v>6</v>
      </c>
      <c r="H2" s="22" t="s">
        <v>353</v>
      </c>
      <c r="I2" s="22" t="s">
        <v>354</v>
      </c>
      <c r="J2" s="22" t="s">
        <v>355</v>
      </c>
      <c r="K2" s="22" t="s">
        <v>356</v>
      </c>
      <c r="L2" s="22" t="s">
        <v>357</v>
      </c>
      <c r="M2" s="22" t="s">
        <v>358</v>
      </c>
      <c r="N2" s="22" t="s">
        <v>359</v>
      </c>
      <c r="O2" s="22" t="s">
        <v>360</v>
      </c>
      <c r="P2" s="23" t="s">
        <v>629</v>
      </c>
      <c r="Q2" s="23" t="s">
        <v>630</v>
      </c>
      <c r="R2" s="23" t="s">
        <v>631</v>
      </c>
      <c r="S2" s="23" t="s">
        <v>632</v>
      </c>
      <c r="T2" s="23" t="s">
        <v>633</v>
      </c>
      <c r="U2" s="23" t="s">
        <v>634</v>
      </c>
      <c r="V2" s="23" t="s">
        <v>635</v>
      </c>
      <c r="W2" s="23" t="s">
        <v>636</v>
      </c>
    </row>
    <row r="3" spans="1:23" hidden="1" x14ac:dyDescent="0.25">
      <c r="A3" s="18">
        <v>4</v>
      </c>
      <c r="B3" s="19">
        <v>5090</v>
      </c>
      <c r="C3" s="19" t="s">
        <v>7</v>
      </c>
      <c r="D3" s="19" t="s">
        <v>8</v>
      </c>
      <c r="E3" s="19" t="s">
        <v>9</v>
      </c>
      <c r="F3" s="19" t="s">
        <v>10</v>
      </c>
      <c r="G3" s="20" t="str">
        <f>IF(LEN(Table12_52_034[[#This Row],[Ledger Code]])&gt;3,"AR"&amp;Table12_52_034[[#This Row],[Ledger Code]],"TBC")</f>
        <v>AR5090</v>
      </c>
      <c r="H3" s="20"/>
      <c r="I3" s="20"/>
      <c r="J3" s="20"/>
      <c r="K3" s="20"/>
      <c r="L3" s="20"/>
      <c r="M3" s="20"/>
      <c r="N3" s="20"/>
      <c r="O3" s="20"/>
      <c r="P3" s="41">
        <v>86.03</v>
      </c>
      <c r="Q3" s="41">
        <v>0</v>
      </c>
      <c r="R3" s="41">
        <v>122.38</v>
      </c>
      <c r="S3" s="41">
        <v>1.1368683772161603E-13</v>
      </c>
      <c r="T3" s="41">
        <v>62.3</v>
      </c>
      <c r="U3" s="41">
        <v>78.620000000000033</v>
      </c>
      <c r="V3" s="41">
        <v>139.99</v>
      </c>
      <c r="W3" s="41">
        <v>0</v>
      </c>
    </row>
    <row r="4" spans="1:23" hidden="1" x14ac:dyDescent="0.25">
      <c r="A4" s="18">
        <v>10</v>
      </c>
      <c r="B4" s="19">
        <v>5104</v>
      </c>
      <c r="C4" s="19" t="s">
        <v>11</v>
      </c>
      <c r="D4" s="19" t="s">
        <v>12</v>
      </c>
      <c r="E4" s="19" t="s">
        <v>9</v>
      </c>
      <c r="F4" s="19" t="s">
        <v>10</v>
      </c>
      <c r="G4" s="20" t="str">
        <f>IF(LEN(Table12_52_034[[#This Row],[Ledger Code]])&gt;3,"AR"&amp;Table12_52_034[[#This Row],[Ledger Code]],"TBC")</f>
        <v>AR5104</v>
      </c>
      <c r="H4" s="20"/>
      <c r="I4" s="20"/>
      <c r="J4" s="20"/>
      <c r="K4" s="20"/>
      <c r="L4" s="20"/>
      <c r="M4" s="20"/>
      <c r="N4" s="20"/>
      <c r="O4" s="20"/>
      <c r="P4" s="41">
        <v>0</v>
      </c>
      <c r="Q4" s="41">
        <v>143.61000000000001</v>
      </c>
      <c r="R4" s="41">
        <v>85.73</v>
      </c>
      <c r="S4" s="41">
        <v>605.29</v>
      </c>
      <c r="T4" s="41">
        <v>-561.87</v>
      </c>
      <c r="U4" s="41">
        <v>203.23999999999995</v>
      </c>
      <c r="V4" s="41">
        <v>409.19000000000005</v>
      </c>
      <c r="W4" s="41">
        <v>183.70000000000005</v>
      </c>
    </row>
    <row r="5" spans="1:23" hidden="1" x14ac:dyDescent="0.25">
      <c r="A5" s="18">
        <v>167</v>
      </c>
      <c r="B5" s="19">
        <v>5146</v>
      </c>
      <c r="C5" s="19" t="s">
        <v>13</v>
      </c>
      <c r="D5" s="19" t="s">
        <v>14</v>
      </c>
      <c r="E5" s="19" t="s">
        <v>9</v>
      </c>
      <c r="F5" s="19" t="s">
        <v>10</v>
      </c>
      <c r="G5" s="20" t="str">
        <f>IF(LEN(Table12_52_034[[#This Row],[Ledger Code]])&gt;3,"AR"&amp;Table12_52_034[[#This Row],[Ledger Code]],"TBC")</f>
        <v>AR5146</v>
      </c>
      <c r="H5" s="20"/>
      <c r="I5" s="20"/>
      <c r="J5" s="20"/>
      <c r="K5" s="20"/>
      <c r="L5" s="20"/>
      <c r="M5" s="20"/>
      <c r="N5" s="20"/>
      <c r="O5" s="20"/>
      <c r="P5" s="41">
        <v>166.32</v>
      </c>
      <c r="Q5" s="41">
        <v>535.68000000000006</v>
      </c>
      <c r="R5" s="41">
        <v>872.64</v>
      </c>
      <c r="S5" s="41">
        <v>291.60000000000002</v>
      </c>
      <c r="T5" s="41">
        <v>133.66</v>
      </c>
      <c r="U5" s="41">
        <v>853.46</v>
      </c>
      <c r="V5" s="41">
        <v>896.40000000000009</v>
      </c>
      <c r="W5" s="41">
        <v>172.8</v>
      </c>
    </row>
    <row r="6" spans="1:23" hidden="1" x14ac:dyDescent="0.25">
      <c r="A6" s="18">
        <v>190</v>
      </c>
      <c r="B6" s="19">
        <v>5182</v>
      </c>
      <c r="C6" s="19" t="s">
        <v>15</v>
      </c>
      <c r="D6" s="19" t="s">
        <v>16</v>
      </c>
      <c r="E6" s="19" t="s">
        <v>9</v>
      </c>
      <c r="F6" s="19" t="s">
        <v>10</v>
      </c>
      <c r="G6" s="20" t="str">
        <f>IF(LEN(Table12_52_034[[#This Row],[Ledger Code]])&gt;3,"AR"&amp;Table12_52_034[[#This Row],[Ledger Code]],"TBC")</f>
        <v>AR5182</v>
      </c>
      <c r="H6" s="20"/>
      <c r="I6" s="20"/>
      <c r="J6" s="20"/>
      <c r="K6" s="20"/>
      <c r="L6" s="20"/>
      <c r="M6" s="20"/>
      <c r="N6" s="20"/>
      <c r="O6" s="20"/>
      <c r="P6" s="41">
        <v>0</v>
      </c>
      <c r="Q6" s="41">
        <v>921.84999999999991</v>
      </c>
      <c r="R6" s="41">
        <v>544.48</v>
      </c>
      <c r="S6" s="41">
        <v>502.00999999999988</v>
      </c>
      <c r="T6" s="41">
        <v>149.5500000000001</v>
      </c>
      <c r="U6" s="41">
        <v>741.48000000000036</v>
      </c>
      <c r="V6" s="41">
        <v>397.24000000000024</v>
      </c>
      <c r="W6" s="41">
        <v>371.68000000000006</v>
      </c>
    </row>
    <row r="7" spans="1:23" hidden="1" x14ac:dyDescent="0.25">
      <c r="A7" s="18">
        <v>199</v>
      </c>
      <c r="B7" s="19">
        <v>5205</v>
      </c>
      <c r="C7" s="19" t="s">
        <v>17</v>
      </c>
      <c r="D7" s="19" t="s">
        <v>18</v>
      </c>
      <c r="E7" s="19" t="s">
        <v>9</v>
      </c>
      <c r="F7" s="19" t="s">
        <v>10</v>
      </c>
      <c r="G7" s="20" t="str">
        <f>IF(LEN(Table12_52_034[[#This Row],[Ledger Code]])&gt;3,"AR"&amp;Table12_52_034[[#This Row],[Ledger Code]],"TBC")</f>
        <v>AR5205</v>
      </c>
      <c r="H7" s="20"/>
      <c r="I7" s="20"/>
      <c r="J7" s="20"/>
      <c r="K7" s="20"/>
      <c r="L7" s="20"/>
      <c r="M7" s="20"/>
      <c r="N7" s="20"/>
      <c r="O7" s="20"/>
      <c r="P7" s="41">
        <v>0</v>
      </c>
      <c r="Q7" s="41">
        <v>0</v>
      </c>
      <c r="R7" s="41">
        <v>4830.5099999999948</v>
      </c>
      <c r="S7" s="41">
        <v>-43.030000000000655</v>
      </c>
      <c r="T7" s="41">
        <v>4846.1099999999997</v>
      </c>
      <c r="U7" s="41">
        <v>-36.25999999999658</v>
      </c>
      <c r="V7" s="41">
        <v>4905.7299999999996</v>
      </c>
      <c r="W7" s="41">
        <v>0</v>
      </c>
    </row>
    <row r="8" spans="1:23" hidden="1" x14ac:dyDescent="0.25">
      <c r="A8" s="18">
        <v>243</v>
      </c>
      <c r="B8" s="19">
        <v>5041</v>
      </c>
      <c r="C8" s="19" t="s">
        <v>19</v>
      </c>
      <c r="D8" s="19" t="s">
        <v>20</v>
      </c>
      <c r="E8" s="19" t="s">
        <v>9</v>
      </c>
      <c r="F8" s="19" t="s">
        <v>10</v>
      </c>
      <c r="G8" s="20" t="str">
        <f>IF(LEN(Table12_52_034[[#This Row],[Ledger Code]])&gt;3,"AR"&amp;Table12_52_034[[#This Row],[Ledger Code]],"TBC")</f>
        <v>AR5041</v>
      </c>
      <c r="H8" s="20"/>
      <c r="I8" s="20"/>
      <c r="J8" s="20"/>
      <c r="K8" s="20"/>
      <c r="L8" s="20"/>
      <c r="M8" s="20"/>
      <c r="N8" s="20"/>
      <c r="O8" s="20"/>
      <c r="P8" s="41">
        <v>0</v>
      </c>
      <c r="Q8" s="41">
        <v>0</v>
      </c>
      <c r="R8" s="41">
        <v>0</v>
      </c>
      <c r="S8" s="41">
        <v>0</v>
      </c>
      <c r="T8" s="41">
        <v>0</v>
      </c>
      <c r="U8" s="41">
        <v>0</v>
      </c>
      <c r="V8" s="41">
        <v>0</v>
      </c>
      <c r="W8" s="41">
        <v>0</v>
      </c>
    </row>
    <row r="9" spans="1:23" hidden="1" x14ac:dyDescent="0.25">
      <c r="A9" s="18">
        <v>251</v>
      </c>
      <c r="B9" s="19">
        <v>5057</v>
      </c>
      <c r="C9" s="19" t="s">
        <v>21</v>
      </c>
      <c r="D9" s="19" t="s">
        <v>22</v>
      </c>
      <c r="E9" s="19" t="s">
        <v>9</v>
      </c>
      <c r="F9" s="19" t="s">
        <v>10</v>
      </c>
      <c r="G9" s="20" t="str">
        <f>IF(LEN(Table12_52_034[[#This Row],[Ledger Code]])&gt;3,"AR"&amp;Table12_52_034[[#This Row],[Ledger Code]],"TBC")</f>
        <v>AR5057</v>
      </c>
      <c r="H9" s="20"/>
      <c r="I9" s="20"/>
      <c r="J9" s="20"/>
      <c r="K9" s="20"/>
      <c r="L9" s="20"/>
      <c r="M9" s="20"/>
      <c r="N9" s="20"/>
      <c r="O9" s="20"/>
      <c r="P9" s="41">
        <v>0</v>
      </c>
      <c r="Q9" s="41">
        <v>0</v>
      </c>
      <c r="R9" s="41">
        <v>0</v>
      </c>
      <c r="S9" s="41">
        <v>0</v>
      </c>
      <c r="T9" s="41">
        <v>0</v>
      </c>
      <c r="U9" s="41">
        <v>670.21</v>
      </c>
      <c r="V9" s="41">
        <v>-670.21</v>
      </c>
      <c r="W9" s="41">
        <v>0</v>
      </c>
    </row>
    <row r="10" spans="1:23" hidden="1" x14ac:dyDescent="0.25">
      <c r="A10" s="18">
        <v>255</v>
      </c>
      <c r="B10" s="19">
        <v>5055</v>
      </c>
      <c r="C10" s="19" t="s">
        <v>23</v>
      </c>
      <c r="D10" s="19" t="s">
        <v>22</v>
      </c>
      <c r="E10" s="19" t="s">
        <v>9</v>
      </c>
      <c r="F10" s="19" t="s">
        <v>10</v>
      </c>
      <c r="G10" s="20" t="str">
        <f>IF(LEN(Table12_52_034[[#This Row],[Ledger Code]])&gt;3,"AR"&amp;Table12_52_034[[#This Row],[Ledger Code]],"TBC")</f>
        <v>AR5055</v>
      </c>
      <c r="H10" s="20"/>
      <c r="I10" s="20"/>
      <c r="J10" s="20"/>
      <c r="K10" s="20"/>
      <c r="L10" s="20"/>
      <c r="M10" s="20"/>
      <c r="N10" s="20"/>
      <c r="O10" s="20"/>
      <c r="P10" s="41">
        <v>0</v>
      </c>
      <c r="Q10" s="41">
        <v>0</v>
      </c>
      <c r="R10" s="41">
        <v>0</v>
      </c>
      <c r="S10" s="41">
        <v>0</v>
      </c>
      <c r="T10" s="41">
        <v>0</v>
      </c>
      <c r="U10" s="41">
        <v>0</v>
      </c>
      <c r="V10" s="41">
        <v>670.21</v>
      </c>
      <c r="W10" s="41">
        <v>2352.09</v>
      </c>
    </row>
    <row r="11" spans="1:23" hidden="1" x14ac:dyDescent="0.25">
      <c r="A11" s="18">
        <v>388</v>
      </c>
      <c r="B11" s="19">
        <v>9029</v>
      </c>
      <c r="C11" s="19" t="s">
        <v>24</v>
      </c>
      <c r="D11" s="19" t="s">
        <v>25</v>
      </c>
      <c r="E11" s="19" t="s">
        <v>26</v>
      </c>
      <c r="F11" s="19" t="s">
        <v>27</v>
      </c>
      <c r="G11" s="20" t="str">
        <f>IF(LEN(Table12_52_034[[#This Row],[Ledger Code]])&gt;3,"AR"&amp;Table12_52_034[[#This Row],[Ledger Code]],"TBC")</f>
        <v>AR9029</v>
      </c>
      <c r="H11" s="20"/>
      <c r="I11" s="20"/>
      <c r="J11" s="20"/>
      <c r="K11" s="20"/>
      <c r="L11" s="20"/>
      <c r="M11" s="20"/>
      <c r="N11" s="20"/>
      <c r="O11" s="20"/>
      <c r="P11" s="41">
        <v>0</v>
      </c>
      <c r="Q11" s="41">
        <v>0</v>
      </c>
      <c r="R11" s="41">
        <v>0</v>
      </c>
      <c r="S11" s="41">
        <v>0</v>
      </c>
      <c r="T11" s="41">
        <v>0</v>
      </c>
      <c r="U11" s="41">
        <v>0</v>
      </c>
      <c r="V11" s="41">
        <v>0</v>
      </c>
      <c r="W11" s="41">
        <v>0</v>
      </c>
    </row>
    <row r="12" spans="1:23" hidden="1" x14ac:dyDescent="0.25">
      <c r="A12" s="18">
        <v>409</v>
      </c>
      <c r="B12" s="19">
        <v>8009</v>
      </c>
      <c r="C12" s="19" t="s">
        <v>28</v>
      </c>
      <c r="D12" s="19" t="s">
        <v>29</v>
      </c>
      <c r="E12" s="19" t="s">
        <v>26</v>
      </c>
      <c r="F12" s="19" t="s">
        <v>27</v>
      </c>
      <c r="G12" s="20" t="str">
        <f>IF(LEN(Table12_52_034[[#This Row],[Ledger Code]])&gt;3,"AR"&amp;Table12_52_034[[#This Row],[Ledger Code]],"TBC")</f>
        <v>AR8009</v>
      </c>
      <c r="H12" s="20"/>
      <c r="I12" s="20"/>
      <c r="J12" s="20"/>
      <c r="K12" s="20"/>
      <c r="L12" s="20"/>
      <c r="M12" s="20"/>
      <c r="N12" s="20"/>
      <c r="O12" s="20"/>
      <c r="P12" s="41">
        <v>1834.7599999999984</v>
      </c>
      <c r="Q12" s="41">
        <v>11726.800000000001</v>
      </c>
      <c r="R12" s="41">
        <v>5366.42</v>
      </c>
      <c r="S12" s="41">
        <v>13064.9</v>
      </c>
      <c r="T12" s="41">
        <v>375.5200000000001</v>
      </c>
      <c r="U12" s="41">
        <v>11330.52</v>
      </c>
      <c r="V12" s="41">
        <v>2810.7499999999986</v>
      </c>
      <c r="W12" s="41">
        <v>2928.5599999999986</v>
      </c>
    </row>
    <row r="13" spans="1:23" hidden="1" x14ac:dyDescent="0.25">
      <c r="A13" s="18">
        <v>424</v>
      </c>
      <c r="B13" s="19">
        <v>8044</v>
      </c>
      <c r="C13" s="19" t="s">
        <v>30</v>
      </c>
      <c r="D13" s="19" t="s">
        <v>31</v>
      </c>
      <c r="E13" s="19" t="s">
        <v>26</v>
      </c>
      <c r="F13" s="19" t="s">
        <v>27</v>
      </c>
      <c r="G13" s="20" t="str">
        <f>IF(LEN(Table12_52_034[[#This Row],[Ledger Code]])&gt;3,"AR"&amp;Table12_52_034[[#This Row],[Ledger Code]],"TBC")</f>
        <v>AR8044</v>
      </c>
      <c r="H13" s="20"/>
      <c r="I13" s="20"/>
      <c r="J13" s="20"/>
      <c r="K13" s="20"/>
      <c r="L13" s="20"/>
      <c r="M13" s="20"/>
      <c r="N13" s="20"/>
      <c r="O13" s="20"/>
      <c r="P13" s="41">
        <v>0</v>
      </c>
      <c r="Q13" s="41">
        <v>0</v>
      </c>
      <c r="R13" s="41">
        <v>3707.8600000000006</v>
      </c>
      <c r="S13" s="41">
        <v>0</v>
      </c>
      <c r="T13" s="41">
        <v>4713.96</v>
      </c>
      <c r="U13" s="41">
        <v>10783.759999999998</v>
      </c>
      <c r="V13" s="41">
        <v>2819.34</v>
      </c>
      <c r="W13" s="41">
        <v>0</v>
      </c>
    </row>
    <row r="14" spans="1:23" hidden="1" x14ac:dyDescent="0.25">
      <c r="A14" s="18">
        <v>444</v>
      </c>
      <c r="B14" s="19">
        <v>8084</v>
      </c>
      <c r="C14" s="19" t="s">
        <v>329</v>
      </c>
      <c r="D14" s="19" t="s">
        <v>330</v>
      </c>
      <c r="E14" s="19" t="s">
        <v>26</v>
      </c>
      <c r="F14" s="19" t="s">
        <v>27</v>
      </c>
      <c r="G14" s="20" t="str">
        <f>IF(LEN(Table12_52_034[[#This Row],[Ledger Code]])&gt;3,"AR"&amp;Table12_52_034[[#This Row],[Ledger Code]],"TBC")</f>
        <v>AR8084</v>
      </c>
      <c r="H14" s="20"/>
      <c r="I14" s="20"/>
      <c r="J14" s="20"/>
      <c r="K14" s="20"/>
      <c r="L14" s="20"/>
      <c r="M14" s="20"/>
      <c r="N14" s="20"/>
      <c r="O14" s="20"/>
      <c r="P14" s="41">
        <v>0</v>
      </c>
      <c r="Q14" s="41">
        <v>0</v>
      </c>
      <c r="R14" s="41">
        <v>0</v>
      </c>
      <c r="S14" s="41">
        <v>2033.0899999999997</v>
      </c>
      <c r="T14" s="41">
        <v>536.6</v>
      </c>
      <c r="U14" s="41">
        <v>743.83</v>
      </c>
      <c r="V14" s="41">
        <v>618.25</v>
      </c>
      <c r="W14" s="41">
        <v>0</v>
      </c>
    </row>
    <row r="15" spans="1:23" hidden="1" x14ac:dyDescent="0.25">
      <c r="A15" s="18">
        <v>448</v>
      </c>
      <c r="B15" s="19">
        <v>8079</v>
      </c>
      <c r="C15" s="19" t="s">
        <v>32</v>
      </c>
      <c r="D15" s="19" t="s">
        <v>33</v>
      </c>
      <c r="E15" s="19" t="s">
        <v>26</v>
      </c>
      <c r="F15" s="19" t="s">
        <v>27</v>
      </c>
      <c r="G15" s="20" t="str">
        <f>IF(LEN(Table12_52_034[[#This Row],[Ledger Code]])&gt;3,"AR"&amp;Table12_52_034[[#This Row],[Ledger Code]],"TBC")</f>
        <v>AR8079</v>
      </c>
      <c r="H15" s="20"/>
      <c r="I15" s="20"/>
      <c r="J15" s="20"/>
      <c r="K15" s="20"/>
      <c r="L15" s="20"/>
      <c r="M15" s="20"/>
      <c r="N15" s="20"/>
      <c r="O15" s="20"/>
      <c r="P15" s="41">
        <v>0</v>
      </c>
      <c r="Q15" s="41">
        <v>0</v>
      </c>
      <c r="R15" s="41">
        <v>0</v>
      </c>
      <c r="S15" s="41">
        <v>0</v>
      </c>
      <c r="T15" s="41">
        <v>0</v>
      </c>
      <c r="U15" s="41">
        <v>0</v>
      </c>
      <c r="V15" s="41">
        <v>0</v>
      </c>
      <c r="W15" s="41">
        <v>0</v>
      </c>
    </row>
    <row r="16" spans="1:23" hidden="1" x14ac:dyDescent="0.25">
      <c r="A16" s="18">
        <v>458</v>
      </c>
      <c r="B16" s="19">
        <v>9026</v>
      </c>
      <c r="C16" s="19" t="s">
        <v>34</v>
      </c>
      <c r="D16" s="19" t="s">
        <v>35</v>
      </c>
      <c r="E16" s="19" t="s">
        <v>26</v>
      </c>
      <c r="F16" s="19" t="s">
        <v>27</v>
      </c>
      <c r="G16" s="20" t="str">
        <f>IF(LEN(Table12_52_034[[#This Row],[Ledger Code]])&gt;3,"AR"&amp;Table12_52_034[[#This Row],[Ledger Code]],"TBC")</f>
        <v>AR9026</v>
      </c>
      <c r="H16" s="20"/>
      <c r="I16" s="20"/>
      <c r="J16" s="20"/>
      <c r="K16" s="20"/>
      <c r="L16" s="20"/>
      <c r="M16" s="20"/>
      <c r="N16" s="20"/>
      <c r="O16" s="20"/>
      <c r="P16" s="41">
        <v>0</v>
      </c>
      <c r="Q16" s="41">
        <v>3115.27</v>
      </c>
      <c r="R16" s="41">
        <v>0</v>
      </c>
      <c r="S16" s="41">
        <v>2761.45</v>
      </c>
      <c r="T16" s="41">
        <v>0</v>
      </c>
      <c r="U16" s="41">
        <v>3746.8500000000004</v>
      </c>
      <c r="V16" s="41">
        <v>0</v>
      </c>
      <c r="W16" s="41">
        <v>3182.85</v>
      </c>
    </row>
    <row r="17" spans="1:23" hidden="1" x14ac:dyDescent="0.25">
      <c r="A17" s="18">
        <v>622</v>
      </c>
      <c r="B17" s="19">
        <v>5336</v>
      </c>
      <c r="C17" s="19" t="s">
        <v>36</v>
      </c>
      <c r="D17" s="19" t="s">
        <v>37</v>
      </c>
      <c r="E17" s="19" t="s">
        <v>9</v>
      </c>
      <c r="F17" s="19" t="s">
        <v>10</v>
      </c>
      <c r="G17" s="20" t="str">
        <f>IF(LEN(Table12_52_034[[#This Row],[Ledger Code]])&gt;3,"AR"&amp;Table12_52_034[[#This Row],[Ledger Code]],"TBC")</f>
        <v>AR5336</v>
      </c>
      <c r="H17" s="20"/>
      <c r="I17" s="20"/>
      <c r="J17" s="20"/>
      <c r="K17" s="20"/>
      <c r="L17" s="20"/>
      <c r="M17" s="20"/>
      <c r="N17" s="20"/>
      <c r="O17" s="20"/>
      <c r="P17" s="41">
        <v>0</v>
      </c>
      <c r="Q17" s="41">
        <v>0</v>
      </c>
      <c r="R17" s="41">
        <v>0</v>
      </c>
      <c r="S17" s="41">
        <v>1081.1600000000003</v>
      </c>
      <c r="T17" s="41">
        <v>1077.1099999999999</v>
      </c>
      <c r="U17" s="41">
        <v>254.77999999999997</v>
      </c>
      <c r="V17" s="41">
        <v>1007.83</v>
      </c>
      <c r="W17" s="41">
        <v>0</v>
      </c>
    </row>
    <row r="18" spans="1:23" hidden="1" x14ac:dyDescent="0.25">
      <c r="A18" s="18">
        <v>624</v>
      </c>
      <c r="B18" s="19">
        <v>5338</v>
      </c>
      <c r="C18" s="19" t="s">
        <v>38</v>
      </c>
      <c r="D18" s="19" t="s">
        <v>39</v>
      </c>
      <c r="E18" s="19" t="s">
        <v>9</v>
      </c>
      <c r="F18" s="19" t="s">
        <v>10</v>
      </c>
      <c r="G18" s="20" t="str">
        <f>IF(LEN(Table12_52_034[[#This Row],[Ledger Code]])&gt;3,"AR"&amp;Table12_52_034[[#This Row],[Ledger Code]],"TBC")</f>
        <v>AR5338</v>
      </c>
      <c r="H18" s="20"/>
      <c r="I18" s="20"/>
      <c r="J18" s="20"/>
      <c r="K18" s="20"/>
      <c r="L18" s="20"/>
      <c r="M18" s="20"/>
      <c r="N18" s="20"/>
      <c r="O18" s="20"/>
      <c r="P18" s="41">
        <v>0</v>
      </c>
      <c r="Q18" s="41">
        <v>0</v>
      </c>
      <c r="R18" s="41">
        <v>0</v>
      </c>
      <c r="S18" s="41">
        <v>2572.38</v>
      </c>
      <c r="T18" s="41">
        <v>1361.8400000000001</v>
      </c>
      <c r="U18" s="41">
        <v>1349.3799999999999</v>
      </c>
      <c r="V18" s="41">
        <v>1322.44</v>
      </c>
      <c r="W18" s="41">
        <v>1424.11</v>
      </c>
    </row>
    <row r="19" spans="1:23" hidden="1" x14ac:dyDescent="0.25">
      <c r="A19" s="18">
        <v>664</v>
      </c>
      <c r="B19" s="19">
        <v>5285</v>
      </c>
      <c r="C19" s="19" t="s">
        <v>484</v>
      </c>
      <c r="D19" s="19" t="s">
        <v>41</v>
      </c>
      <c r="E19" s="19" t="s">
        <v>9</v>
      </c>
      <c r="F19" s="19" t="s">
        <v>10</v>
      </c>
      <c r="G19" s="20" t="str">
        <f>IF(LEN(Table12_52_034[[#This Row],[Ledger Code]])&gt;3,"AR"&amp;Table12_52_034[[#This Row],[Ledger Code]],"TBC")</f>
        <v>AR5285</v>
      </c>
      <c r="H19" s="20"/>
      <c r="I19" s="20"/>
      <c r="J19" s="20"/>
      <c r="K19" s="20"/>
      <c r="L19" s="20"/>
      <c r="M19" s="20"/>
      <c r="N19" s="20"/>
      <c r="O19" s="20"/>
      <c r="P19" s="41">
        <v>0</v>
      </c>
      <c r="Q19" s="41">
        <v>0</v>
      </c>
      <c r="R19" s="41">
        <v>0</v>
      </c>
      <c r="S19" s="41">
        <v>0</v>
      </c>
      <c r="T19" s="41">
        <v>0</v>
      </c>
      <c r="U19" s="41">
        <v>0</v>
      </c>
      <c r="V19" s="41">
        <v>0</v>
      </c>
      <c r="W19" s="41">
        <v>0</v>
      </c>
    </row>
    <row r="20" spans="1:23" hidden="1" x14ac:dyDescent="0.25">
      <c r="A20" s="18">
        <v>726</v>
      </c>
      <c r="B20" s="19">
        <v>5317</v>
      </c>
      <c r="C20" s="19" t="s">
        <v>42</v>
      </c>
      <c r="D20" s="19" t="s">
        <v>43</v>
      </c>
      <c r="E20" s="19" t="s">
        <v>9</v>
      </c>
      <c r="F20" s="19" t="s">
        <v>10</v>
      </c>
      <c r="G20" s="20" t="str">
        <f>IF(LEN(Table12_52_034[[#This Row],[Ledger Code]])&gt;3,"AR"&amp;Table12_52_034[[#This Row],[Ledger Code]],"TBC")</f>
        <v>AR5317</v>
      </c>
      <c r="H20" s="20"/>
      <c r="I20" s="20"/>
      <c r="J20" s="20"/>
      <c r="K20" s="20"/>
      <c r="L20" s="20"/>
      <c r="M20" s="20"/>
      <c r="N20" s="20"/>
      <c r="O20" s="20"/>
      <c r="P20" s="41">
        <v>0</v>
      </c>
      <c r="Q20" s="41">
        <v>0</v>
      </c>
      <c r="R20" s="41">
        <v>0</v>
      </c>
      <c r="S20" s="41">
        <v>800.65000000000009</v>
      </c>
      <c r="T20" s="41">
        <v>893.32000000000016</v>
      </c>
      <c r="U20" s="41">
        <v>1.1368683772161603E-13</v>
      </c>
      <c r="V20" s="41">
        <v>-5.6843418860808015E-14</v>
      </c>
      <c r="W20" s="41">
        <v>730.38</v>
      </c>
    </row>
    <row r="21" spans="1:23" hidden="1" x14ac:dyDescent="0.25">
      <c r="A21" s="18">
        <v>758</v>
      </c>
      <c r="B21" s="19">
        <v>5527</v>
      </c>
      <c r="C21" s="19" t="s">
        <v>44</v>
      </c>
      <c r="D21" s="19" t="s">
        <v>45</v>
      </c>
      <c r="E21" s="19" t="s">
        <v>9</v>
      </c>
      <c r="F21" s="19" t="s">
        <v>10</v>
      </c>
      <c r="G21" s="20" t="str">
        <f>IF(LEN(Table12_52_034[[#This Row],[Ledger Code]])&gt;3,"AR"&amp;Table12_52_034[[#This Row],[Ledger Code]],"TBC")</f>
        <v>AR5527</v>
      </c>
      <c r="H21" s="20"/>
      <c r="I21" s="20"/>
      <c r="J21" s="20"/>
      <c r="K21" s="20"/>
      <c r="L21" s="20"/>
      <c r="M21" s="20"/>
      <c r="N21" s="20"/>
      <c r="O21" s="20"/>
      <c r="P21" s="41">
        <v>0</v>
      </c>
      <c r="Q21" s="41">
        <v>1859.02</v>
      </c>
      <c r="R21" s="41">
        <v>0</v>
      </c>
      <c r="S21" s="41">
        <v>1440.8900000000003</v>
      </c>
      <c r="T21" s="41">
        <v>0</v>
      </c>
      <c r="U21" s="41">
        <v>1127.9499999999998</v>
      </c>
      <c r="V21" s="41">
        <v>2014.16</v>
      </c>
      <c r="W21" s="41">
        <v>25250.260000000002</v>
      </c>
    </row>
    <row r="22" spans="1:23" hidden="1" x14ac:dyDescent="0.25">
      <c r="A22" s="18">
        <v>822</v>
      </c>
      <c r="B22" s="19">
        <v>8141</v>
      </c>
      <c r="C22" s="19" t="s">
        <v>46</v>
      </c>
      <c r="D22" s="19" t="s">
        <v>47</v>
      </c>
      <c r="E22" s="19" t="s">
        <v>26</v>
      </c>
      <c r="F22" s="19" t="s">
        <v>48</v>
      </c>
      <c r="G22" s="20" t="str">
        <f>IF(LEN(Table12_52_034[[#This Row],[Ledger Code]])&gt;3,"AR"&amp;Table12_52_034[[#This Row],[Ledger Code]],"TBC")</f>
        <v>AR8141</v>
      </c>
      <c r="H22" s="20"/>
      <c r="I22" s="20"/>
      <c r="J22" s="20"/>
      <c r="K22" s="20"/>
      <c r="L22" s="20"/>
      <c r="M22" s="20"/>
      <c r="N22" s="20"/>
      <c r="O22" s="20"/>
      <c r="P22" s="41">
        <v>0</v>
      </c>
      <c r="Q22" s="41">
        <v>0</v>
      </c>
      <c r="R22" s="41">
        <v>0</v>
      </c>
      <c r="S22" s="41">
        <v>0</v>
      </c>
      <c r="T22" s="41">
        <v>0</v>
      </c>
      <c r="U22" s="41">
        <v>0</v>
      </c>
      <c r="V22" s="41">
        <v>0</v>
      </c>
      <c r="W22" s="41">
        <v>0</v>
      </c>
    </row>
    <row r="23" spans="1:23" hidden="1" x14ac:dyDescent="0.25">
      <c r="A23" s="18">
        <v>843</v>
      </c>
      <c r="B23" s="19">
        <v>8176</v>
      </c>
      <c r="C23" s="19" t="s">
        <v>49</v>
      </c>
      <c r="D23" s="19" t="s">
        <v>50</v>
      </c>
      <c r="E23" s="19" t="s">
        <v>26</v>
      </c>
      <c r="F23" s="19" t="s">
        <v>48</v>
      </c>
      <c r="G23" s="20" t="str">
        <f>IF(LEN(Table12_52_034[[#This Row],[Ledger Code]])&gt;3,"AR"&amp;Table12_52_034[[#This Row],[Ledger Code]],"TBC")</f>
        <v>AR8176</v>
      </c>
      <c r="H23" s="20"/>
      <c r="I23" s="20"/>
      <c r="J23" s="20"/>
      <c r="K23" s="20"/>
      <c r="L23" s="20"/>
      <c r="M23" s="20"/>
      <c r="N23" s="20"/>
      <c r="O23" s="20"/>
      <c r="P23" s="41">
        <v>0</v>
      </c>
      <c r="Q23" s="41">
        <v>0</v>
      </c>
      <c r="R23" s="41">
        <v>0</v>
      </c>
      <c r="S23" s="41">
        <v>0</v>
      </c>
      <c r="T23" s="41">
        <v>0</v>
      </c>
      <c r="U23" s="41">
        <v>0</v>
      </c>
      <c r="V23" s="41">
        <v>0</v>
      </c>
      <c r="W23" s="41">
        <v>0</v>
      </c>
    </row>
    <row r="24" spans="1:23" hidden="1" x14ac:dyDescent="0.25">
      <c r="A24" s="18">
        <v>881</v>
      </c>
      <c r="B24" s="19">
        <v>8118</v>
      </c>
      <c r="C24" s="19" t="s">
        <v>51</v>
      </c>
      <c r="D24" s="19" t="s">
        <v>52</v>
      </c>
      <c r="E24" s="19" t="s">
        <v>26</v>
      </c>
      <c r="F24" s="19" t="s">
        <v>48</v>
      </c>
      <c r="G24" s="20" t="str">
        <f>IF(LEN(Table12_52_034[[#This Row],[Ledger Code]])&gt;3,"AR"&amp;Table12_52_034[[#This Row],[Ledger Code]],"TBC")</f>
        <v>AR8118</v>
      </c>
      <c r="H24" s="20"/>
      <c r="I24" s="20"/>
      <c r="J24" s="20"/>
      <c r="K24" s="20"/>
      <c r="L24" s="20"/>
      <c r="M24" s="20"/>
      <c r="N24" s="20"/>
      <c r="O24" s="20"/>
      <c r="P24" s="41">
        <v>0</v>
      </c>
      <c r="Q24" s="41">
        <v>0</v>
      </c>
      <c r="R24" s="41">
        <v>0</v>
      </c>
      <c r="S24" s="41">
        <v>0</v>
      </c>
      <c r="T24" s="41">
        <v>0</v>
      </c>
      <c r="U24" s="41">
        <v>0</v>
      </c>
      <c r="V24" s="41">
        <v>0</v>
      </c>
      <c r="W24" s="41">
        <v>0</v>
      </c>
    </row>
    <row r="25" spans="1:23" hidden="1" x14ac:dyDescent="0.25">
      <c r="A25" s="18">
        <v>913</v>
      </c>
      <c r="B25" s="19">
        <v>8176</v>
      </c>
      <c r="C25" s="19" t="s">
        <v>49</v>
      </c>
      <c r="D25" s="19" t="s">
        <v>50</v>
      </c>
      <c r="E25" s="19" t="s">
        <v>26</v>
      </c>
      <c r="F25" s="19" t="s">
        <v>48</v>
      </c>
      <c r="G25" s="20" t="str">
        <f>IF(LEN(Table12_52_034[[#This Row],[Ledger Code]])&gt;3,"AR"&amp;Table12_52_034[[#This Row],[Ledger Code]],"TBC")</f>
        <v>AR8176</v>
      </c>
      <c r="H25" s="20"/>
      <c r="I25" s="20"/>
      <c r="J25" s="20"/>
      <c r="K25" s="20"/>
      <c r="L25" s="20"/>
      <c r="M25" s="20"/>
      <c r="N25" s="20"/>
      <c r="O25" s="20"/>
      <c r="P25" s="41">
        <v>0</v>
      </c>
      <c r="Q25" s="41">
        <v>0</v>
      </c>
      <c r="R25" s="41">
        <v>0</v>
      </c>
      <c r="S25" s="41">
        <v>0</v>
      </c>
      <c r="T25" s="41">
        <v>0</v>
      </c>
      <c r="U25" s="41">
        <v>0</v>
      </c>
      <c r="V25" s="41">
        <v>0</v>
      </c>
      <c r="W25" s="41">
        <v>0</v>
      </c>
    </row>
    <row r="26" spans="1:23" hidden="1" x14ac:dyDescent="0.25">
      <c r="A26" s="18">
        <v>923</v>
      </c>
      <c r="B26" s="19">
        <v>8181</v>
      </c>
      <c r="C26" s="19" t="s">
        <v>53</v>
      </c>
      <c r="D26" s="19" t="s">
        <v>54</v>
      </c>
      <c r="E26" s="19" t="s">
        <v>26</v>
      </c>
      <c r="F26" s="19" t="s">
        <v>48</v>
      </c>
      <c r="G26" s="20" t="str">
        <f>IF(LEN(Table12_52_034[[#This Row],[Ledger Code]])&gt;3,"AR"&amp;Table12_52_034[[#This Row],[Ledger Code]],"TBC")</f>
        <v>AR8181</v>
      </c>
      <c r="H26" s="20"/>
      <c r="I26" s="20"/>
      <c r="J26" s="20"/>
      <c r="K26" s="20"/>
      <c r="L26" s="20"/>
      <c r="M26" s="20"/>
      <c r="N26" s="20"/>
      <c r="O26" s="20"/>
      <c r="P26" s="41">
        <v>0</v>
      </c>
      <c r="Q26" s="41">
        <v>0</v>
      </c>
      <c r="R26" s="41">
        <v>0</v>
      </c>
      <c r="S26" s="41">
        <v>1068.3599999999997</v>
      </c>
      <c r="T26" s="41">
        <v>0</v>
      </c>
      <c r="U26" s="41">
        <v>1932.21</v>
      </c>
      <c r="V26" s="41">
        <v>0</v>
      </c>
      <c r="W26" s="41">
        <v>3525.56</v>
      </c>
    </row>
    <row r="27" spans="1:23" hidden="1" x14ac:dyDescent="0.25">
      <c r="A27" s="18">
        <v>995</v>
      </c>
      <c r="B27" s="19">
        <v>2505</v>
      </c>
      <c r="C27" s="19" t="s">
        <v>55</v>
      </c>
      <c r="D27" s="19" t="s">
        <v>56</v>
      </c>
      <c r="E27" s="19" t="s">
        <v>57</v>
      </c>
      <c r="F27" s="19" t="s">
        <v>58</v>
      </c>
      <c r="G27" s="20" t="str">
        <f>IF(LEN(Table12_52_034[[#This Row],[Ledger Code]])&gt;3,"AR"&amp;Table12_52_034[[#This Row],[Ledger Code]],"TBC")</f>
        <v>AR2505</v>
      </c>
      <c r="H27" s="20"/>
      <c r="I27" s="20"/>
      <c r="J27" s="20"/>
      <c r="K27" s="20"/>
      <c r="L27" s="20"/>
      <c r="M27" s="20"/>
      <c r="N27" s="20"/>
      <c r="O27" s="20"/>
      <c r="P27" s="41">
        <v>0</v>
      </c>
      <c r="Q27" s="41">
        <v>0</v>
      </c>
      <c r="R27" s="41">
        <v>7976.4799999999987</v>
      </c>
      <c r="S27" s="41">
        <v>638.88999999999942</v>
      </c>
      <c r="T27" s="41">
        <v>4481.17</v>
      </c>
      <c r="U27" s="41">
        <v>2492.3099999999995</v>
      </c>
      <c r="V27" s="41">
        <v>2122.63</v>
      </c>
      <c r="W27" s="41">
        <v>785.8</v>
      </c>
    </row>
    <row r="28" spans="1:23" hidden="1" x14ac:dyDescent="0.25">
      <c r="A28" s="18">
        <v>997</v>
      </c>
      <c r="B28" s="19">
        <v>2507</v>
      </c>
      <c r="C28" s="19" t="s">
        <v>59</v>
      </c>
      <c r="D28" s="19" t="s">
        <v>60</v>
      </c>
      <c r="E28" s="19" t="s">
        <v>57</v>
      </c>
      <c r="F28" s="19" t="s">
        <v>58</v>
      </c>
      <c r="G28" s="20" t="str">
        <f>IF(LEN(Table12_52_034[[#This Row],[Ledger Code]])&gt;3,"AR"&amp;Table12_52_034[[#This Row],[Ledger Code]],"TBC")</f>
        <v>AR2507</v>
      </c>
      <c r="H28" s="20"/>
      <c r="I28" s="20"/>
      <c r="J28" s="20"/>
      <c r="K28" s="20"/>
      <c r="L28" s="20"/>
      <c r="M28" s="20"/>
      <c r="N28" s="20"/>
      <c r="O28" s="20"/>
      <c r="P28" s="41">
        <v>1120.04</v>
      </c>
      <c r="Q28" s="41">
        <v>165.73000000000002</v>
      </c>
      <c r="R28" s="41">
        <v>214.64</v>
      </c>
      <c r="S28" s="41">
        <v>1234.69</v>
      </c>
      <c r="T28" s="41">
        <v>209.39</v>
      </c>
      <c r="U28" s="41">
        <v>233.39</v>
      </c>
      <c r="V28" s="41">
        <v>224.38</v>
      </c>
      <c r="W28" s="41">
        <v>4.2632564145606011E-14</v>
      </c>
    </row>
    <row r="29" spans="1:23" hidden="1" x14ac:dyDescent="0.25">
      <c r="A29" s="18">
        <v>1038</v>
      </c>
      <c r="B29" s="19">
        <v>2586</v>
      </c>
      <c r="C29" s="19" t="s">
        <v>61</v>
      </c>
      <c r="D29" s="19" t="s">
        <v>62</v>
      </c>
      <c r="E29" s="19" t="s">
        <v>57</v>
      </c>
      <c r="F29" s="19" t="s">
        <v>58</v>
      </c>
      <c r="G29" s="20" t="str">
        <f>IF(LEN(Table12_52_034[[#This Row],[Ledger Code]])&gt;3,"AR"&amp;Table12_52_034[[#This Row],[Ledger Code]],"TBC")</f>
        <v>AR2586</v>
      </c>
      <c r="H29" s="20"/>
      <c r="I29" s="20"/>
      <c r="J29" s="20"/>
      <c r="K29" s="20"/>
      <c r="L29" s="20"/>
      <c r="M29" s="20"/>
      <c r="N29" s="20"/>
      <c r="O29" s="20"/>
      <c r="P29" s="41">
        <v>0</v>
      </c>
      <c r="Q29" s="41">
        <v>0</v>
      </c>
      <c r="R29" s="41">
        <v>2959.1</v>
      </c>
      <c r="S29" s="41">
        <v>1541.04</v>
      </c>
      <c r="T29" s="41">
        <v>0</v>
      </c>
      <c r="U29" s="41">
        <v>1541.03</v>
      </c>
      <c r="V29" s="41">
        <v>0</v>
      </c>
      <c r="W29" s="41">
        <v>0</v>
      </c>
    </row>
    <row r="30" spans="1:23" hidden="1" x14ac:dyDescent="0.25">
      <c r="A30" s="18">
        <v>1046</v>
      </c>
      <c r="B30" s="19">
        <v>2574</v>
      </c>
      <c r="C30" s="19" t="s">
        <v>63</v>
      </c>
      <c r="D30" s="19" t="s">
        <v>64</v>
      </c>
      <c r="E30" s="19" t="s">
        <v>57</v>
      </c>
      <c r="F30" s="19" t="s">
        <v>58</v>
      </c>
      <c r="G30" s="20" t="str">
        <f>IF(LEN(Table12_52_034[[#This Row],[Ledger Code]])&gt;3,"AR"&amp;Table12_52_034[[#This Row],[Ledger Code]],"TBC")</f>
        <v>AR2574</v>
      </c>
      <c r="H30" s="20"/>
      <c r="I30" s="20"/>
      <c r="J30" s="20"/>
      <c r="K30" s="20"/>
      <c r="L30" s="20"/>
      <c r="M30" s="20"/>
      <c r="N30" s="20"/>
      <c r="O30" s="20"/>
      <c r="P30" s="41">
        <v>0</v>
      </c>
      <c r="Q30" s="41">
        <v>0</v>
      </c>
      <c r="R30" s="41">
        <v>0</v>
      </c>
      <c r="S30" s="41">
        <v>5645</v>
      </c>
      <c r="T30" s="41">
        <v>0</v>
      </c>
      <c r="U30" s="41">
        <v>0</v>
      </c>
      <c r="V30" s="41">
        <v>0</v>
      </c>
      <c r="W30" s="41">
        <v>5645</v>
      </c>
    </row>
    <row r="31" spans="1:23" hidden="1" x14ac:dyDescent="0.25">
      <c r="A31" s="18">
        <v>1049</v>
      </c>
      <c r="B31" s="19">
        <v>2586</v>
      </c>
      <c r="C31" s="19" t="s">
        <v>65</v>
      </c>
      <c r="D31" s="19" t="s">
        <v>62</v>
      </c>
      <c r="E31" s="19" t="s">
        <v>57</v>
      </c>
      <c r="F31" s="19" t="s">
        <v>58</v>
      </c>
      <c r="G31" s="20" t="str">
        <f>IF(LEN(Table12_52_034[[#This Row],[Ledger Code]])&gt;3,"AR"&amp;Table12_52_034[[#This Row],[Ledger Code]],"TBC")</f>
        <v>AR2586</v>
      </c>
      <c r="H31" s="20"/>
      <c r="I31" s="20"/>
      <c r="J31" s="20"/>
      <c r="K31" s="20"/>
      <c r="L31" s="20"/>
      <c r="M31" s="20"/>
      <c r="N31" s="20"/>
      <c r="O31" s="20"/>
      <c r="P31" s="41">
        <v>0</v>
      </c>
      <c r="Q31" s="41">
        <v>0</v>
      </c>
      <c r="R31" s="41">
        <v>2959.1</v>
      </c>
      <c r="S31" s="41">
        <v>1541.04</v>
      </c>
      <c r="T31" s="41">
        <v>0</v>
      </c>
      <c r="U31" s="41">
        <v>1541.03</v>
      </c>
      <c r="V31" s="41">
        <v>0</v>
      </c>
      <c r="W31" s="41">
        <v>0</v>
      </c>
    </row>
    <row r="32" spans="1:23" hidden="1" x14ac:dyDescent="0.25">
      <c r="A32" s="18">
        <v>1070</v>
      </c>
      <c r="B32" s="19">
        <v>2625</v>
      </c>
      <c r="C32" s="19" t="s">
        <v>66</v>
      </c>
      <c r="D32" s="19" t="s">
        <v>67</v>
      </c>
      <c r="E32" s="19" t="s">
        <v>57</v>
      </c>
      <c r="F32" s="19" t="s">
        <v>58</v>
      </c>
      <c r="G32" s="20" t="str">
        <f>IF(LEN(Table12_52_034[[#This Row],[Ledger Code]])&gt;3,"AR"&amp;Table12_52_034[[#This Row],[Ledger Code]],"TBC")</f>
        <v>AR2625</v>
      </c>
      <c r="H32" s="20"/>
      <c r="I32" s="20"/>
      <c r="J32" s="20"/>
      <c r="K32" s="20"/>
      <c r="L32" s="20"/>
      <c r="M32" s="20"/>
      <c r="N32" s="20"/>
      <c r="O32" s="20"/>
      <c r="P32" s="41">
        <v>0</v>
      </c>
      <c r="Q32" s="41">
        <v>0</v>
      </c>
      <c r="R32" s="41">
        <v>4754.62</v>
      </c>
      <c r="S32" s="41">
        <v>2231.4299999999998</v>
      </c>
      <c r="T32" s="41">
        <v>5358.05</v>
      </c>
      <c r="U32" s="41">
        <v>6932.09</v>
      </c>
      <c r="V32" s="41">
        <v>1084.9599999999998</v>
      </c>
      <c r="W32" s="41">
        <v>2045.2099999999998</v>
      </c>
    </row>
    <row r="33" spans="1:23" hidden="1" x14ac:dyDescent="0.25">
      <c r="A33" s="18">
        <v>1102</v>
      </c>
      <c r="B33" s="19">
        <v>2930</v>
      </c>
      <c r="C33" s="19" t="s">
        <v>68</v>
      </c>
      <c r="D33" s="19" t="s">
        <v>69</v>
      </c>
      <c r="E33" s="19" t="s">
        <v>57</v>
      </c>
      <c r="F33" s="19" t="s">
        <v>70</v>
      </c>
      <c r="G33" s="20" t="str">
        <f>IF(LEN(Table12_52_034[[#This Row],[Ledger Code]])&gt;3,"AR"&amp;Table12_52_034[[#This Row],[Ledger Code]],"TBC")</f>
        <v>AR2930</v>
      </c>
      <c r="H33" s="20"/>
      <c r="I33" s="20"/>
      <c r="J33" s="20"/>
      <c r="K33" s="20"/>
      <c r="L33" s="20"/>
      <c r="M33" s="20"/>
      <c r="N33" s="20"/>
      <c r="O33" s="20"/>
      <c r="P33" s="41">
        <v>0</v>
      </c>
      <c r="Q33" s="41">
        <v>0</v>
      </c>
      <c r="R33" s="41">
        <v>0</v>
      </c>
      <c r="S33" s="41">
        <v>0</v>
      </c>
      <c r="T33" s="41">
        <v>0</v>
      </c>
      <c r="U33" s="41">
        <v>0</v>
      </c>
      <c r="V33" s="41">
        <v>0</v>
      </c>
      <c r="W33" s="41">
        <v>51523</v>
      </c>
    </row>
    <row r="34" spans="1:23" hidden="1" x14ac:dyDescent="0.25">
      <c r="A34" s="18">
        <v>1109</v>
      </c>
      <c r="B34" s="19">
        <v>2698</v>
      </c>
      <c r="C34" s="19" t="s">
        <v>71</v>
      </c>
      <c r="D34" s="19" t="s">
        <v>72</v>
      </c>
      <c r="E34" s="19" t="s">
        <v>57</v>
      </c>
      <c r="F34" s="19" t="s">
        <v>70</v>
      </c>
      <c r="G34" s="20" t="str">
        <f>IF(LEN(Table12_52_034[[#This Row],[Ledger Code]])&gt;3,"AR"&amp;Table12_52_034[[#This Row],[Ledger Code]],"TBC")</f>
        <v>AR2698</v>
      </c>
      <c r="H34" s="20"/>
      <c r="I34" s="20"/>
      <c r="J34" s="20"/>
      <c r="K34" s="20"/>
      <c r="L34" s="20"/>
      <c r="M34" s="20"/>
      <c r="N34" s="20"/>
      <c r="O34" s="20"/>
      <c r="P34" s="41"/>
      <c r="Q34" s="41">
        <v>575.38</v>
      </c>
      <c r="R34" s="41">
        <v>614.99</v>
      </c>
      <c r="S34" s="41">
        <v>664.71</v>
      </c>
      <c r="T34" s="41">
        <v>583.82000000000005</v>
      </c>
      <c r="U34" s="41">
        <v>567.64</v>
      </c>
      <c r="V34" s="41">
        <v>531.74</v>
      </c>
      <c r="W34" s="41">
        <v>665.86</v>
      </c>
    </row>
    <row r="35" spans="1:23" hidden="1" x14ac:dyDescent="0.25">
      <c r="A35" s="18">
        <v>1112</v>
      </c>
      <c r="B35" s="19">
        <v>2701</v>
      </c>
      <c r="C35" s="19" t="s">
        <v>73</v>
      </c>
      <c r="D35" s="19" t="s">
        <v>74</v>
      </c>
      <c r="E35" s="19" t="s">
        <v>57</v>
      </c>
      <c r="F35" s="19" t="s">
        <v>70</v>
      </c>
      <c r="G35" s="20" t="str">
        <f>IF(LEN(Table12_52_034[[#This Row],[Ledger Code]])&gt;3,"AR"&amp;Table12_52_034[[#This Row],[Ledger Code]],"TBC")</f>
        <v>AR2701</v>
      </c>
      <c r="H35" s="20"/>
      <c r="I35" s="20"/>
      <c r="J35" s="20"/>
      <c r="K35" s="20"/>
      <c r="L35" s="20"/>
      <c r="M35" s="20"/>
      <c r="N35" s="20"/>
      <c r="O35" s="20"/>
      <c r="P35" s="41">
        <v>0</v>
      </c>
      <c r="Q35" s="41">
        <v>0</v>
      </c>
      <c r="R35" s="41">
        <v>0</v>
      </c>
      <c r="S35" s="41">
        <v>0</v>
      </c>
      <c r="T35" s="41">
        <v>0</v>
      </c>
      <c r="U35" s="41">
        <v>0</v>
      </c>
      <c r="V35" s="41">
        <v>0</v>
      </c>
      <c r="W35" s="41">
        <v>0</v>
      </c>
    </row>
    <row r="36" spans="1:23" hidden="1" x14ac:dyDescent="0.25">
      <c r="A36" s="18">
        <v>1142</v>
      </c>
      <c r="B36" s="19">
        <v>2729</v>
      </c>
      <c r="C36" s="19" t="s">
        <v>75</v>
      </c>
      <c r="D36" s="19" t="s">
        <v>76</v>
      </c>
      <c r="E36" s="19" t="s">
        <v>57</v>
      </c>
      <c r="F36" s="19" t="s">
        <v>70</v>
      </c>
      <c r="G36" s="20" t="str">
        <f>IF(LEN(Table12_52_034[[#This Row],[Ledger Code]])&gt;3,"AR"&amp;Table12_52_034[[#This Row],[Ledger Code]],"TBC")</f>
        <v>AR2729</v>
      </c>
      <c r="H36" s="20"/>
      <c r="I36" s="20"/>
      <c r="J36" s="20"/>
      <c r="K36" s="20"/>
      <c r="L36" s="20"/>
      <c r="M36" s="20"/>
      <c r="N36" s="20"/>
      <c r="O36" s="20"/>
      <c r="P36" s="41">
        <v>49.98</v>
      </c>
      <c r="Q36" s="41">
        <v>293.45999999999998</v>
      </c>
      <c r="R36" s="41">
        <v>230.55</v>
      </c>
      <c r="S36" s="41">
        <v>290.56</v>
      </c>
      <c r="T36" s="41">
        <v>204.04</v>
      </c>
      <c r="U36" s="41">
        <v>288.10000000000002</v>
      </c>
      <c r="V36" s="41">
        <v>244.23000000000002</v>
      </c>
      <c r="W36" s="41">
        <v>0</v>
      </c>
    </row>
    <row r="37" spans="1:23" hidden="1" x14ac:dyDescent="0.25">
      <c r="A37" s="18">
        <v>1194</v>
      </c>
      <c r="B37" s="19">
        <v>2673</v>
      </c>
      <c r="C37" s="19" t="s">
        <v>77</v>
      </c>
      <c r="D37" s="19" t="s">
        <v>78</v>
      </c>
      <c r="E37" s="19" t="s">
        <v>57</v>
      </c>
      <c r="F37" s="19" t="s">
        <v>70</v>
      </c>
      <c r="G37" s="20" t="str">
        <f>IF(LEN(Table12_52_034[[#This Row],[Ledger Code]])&gt;3,"AR"&amp;Table12_52_034[[#This Row],[Ledger Code]],"TBC")</f>
        <v>AR2673</v>
      </c>
      <c r="H37" s="20"/>
      <c r="I37" s="20"/>
      <c r="J37" s="20"/>
      <c r="K37" s="20"/>
      <c r="L37" s="20"/>
      <c r="M37" s="20"/>
      <c r="N37" s="20"/>
      <c r="O37" s="20"/>
      <c r="P37" s="41">
        <v>0</v>
      </c>
      <c r="Q37" s="41">
        <v>1081.53</v>
      </c>
      <c r="R37" s="41">
        <v>643.16</v>
      </c>
      <c r="S37" s="41">
        <v>-299.82000000000005</v>
      </c>
      <c r="T37" s="41">
        <v>947.57000000000016</v>
      </c>
      <c r="U37" s="41">
        <v>915.32000000000028</v>
      </c>
      <c r="V37" s="41">
        <v>799.75000000000023</v>
      </c>
      <c r="W37" s="41">
        <v>782.02</v>
      </c>
    </row>
    <row r="38" spans="1:23" hidden="1" x14ac:dyDescent="0.25">
      <c r="A38" s="18">
        <v>1294</v>
      </c>
      <c r="B38" s="19">
        <v>2929</v>
      </c>
      <c r="C38" s="19" t="s">
        <v>79</v>
      </c>
      <c r="D38" s="19" t="s">
        <v>80</v>
      </c>
      <c r="E38" s="19" t="s">
        <v>57</v>
      </c>
      <c r="F38" s="19" t="s">
        <v>70</v>
      </c>
      <c r="G38" s="20" t="str">
        <f>IF(LEN(Table12_52_034[[#This Row],[Ledger Code]])&gt;3,"AR"&amp;Table12_52_034[[#This Row],[Ledger Code]],"TBC")</f>
        <v>AR2929</v>
      </c>
      <c r="H38" s="20"/>
      <c r="I38" s="20"/>
      <c r="J38" s="20"/>
      <c r="K38" s="20"/>
      <c r="L38" s="20"/>
      <c r="M38" s="20"/>
      <c r="N38" s="20"/>
      <c r="O38" s="20"/>
      <c r="P38" s="41">
        <v>0</v>
      </c>
      <c r="Q38" s="41">
        <v>0</v>
      </c>
      <c r="R38" s="41">
        <v>373.4</v>
      </c>
      <c r="S38" s="41">
        <v>347.13</v>
      </c>
      <c r="T38" s="41">
        <v>719.26</v>
      </c>
      <c r="U38" s="41">
        <v>446.69999999999982</v>
      </c>
      <c r="V38" s="41">
        <v>462.20999999999992</v>
      </c>
      <c r="W38" s="41">
        <v>555.26999999999975</v>
      </c>
    </row>
    <row r="39" spans="1:23" hidden="1" x14ac:dyDescent="0.25">
      <c r="A39" s="18">
        <v>1356</v>
      </c>
      <c r="B39" s="19">
        <v>5608</v>
      </c>
      <c r="C39" s="19" t="s">
        <v>81</v>
      </c>
      <c r="D39" s="19" t="s">
        <v>82</v>
      </c>
      <c r="E39" s="19" t="s">
        <v>9</v>
      </c>
      <c r="F39" s="19" t="s">
        <v>83</v>
      </c>
      <c r="G39" s="20" t="str">
        <f>IF(LEN(Table12_52_034[[#This Row],[Ledger Code]])&gt;3,"AR"&amp;Table12_52_034[[#This Row],[Ledger Code]],"TBC")</f>
        <v>AR5608</v>
      </c>
      <c r="H39" s="20"/>
      <c r="I39" s="20"/>
      <c r="J39" s="20"/>
      <c r="K39" s="20"/>
      <c r="L39" s="20"/>
      <c r="M39" s="20"/>
      <c r="N39" s="20"/>
      <c r="O39" s="20"/>
      <c r="P39" s="41">
        <v>0</v>
      </c>
      <c r="Q39" s="41">
        <v>0</v>
      </c>
      <c r="R39" s="41">
        <v>0</v>
      </c>
      <c r="S39" s="41">
        <v>3766.95</v>
      </c>
      <c r="T39" s="41">
        <v>0</v>
      </c>
      <c r="U39" s="41">
        <v>0</v>
      </c>
      <c r="V39" s="41">
        <v>0</v>
      </c>
      <c r="W39" s="41">
        <v>2418.4</v>
      </c>
    </row>
    <row r="40" spans="1:23" hidden="1" x14ac:dyDescent="0.25">
      <c r="A40" s="18">
        <v>1386</v>
      </c>
      <c r="B40" s="19">
        <v>5638</v>
      </c>
      <c r="C40" s="19" t="s">
        <v>84</v>
      </c>
      <c r="D40" s="19" t="s">
        <v>85</v>
      </c>
      <c r="E40" s="19" t="s">
        <v>9</v>
      </c>
      <c r="F40" s="19" t="s">
        <v>83</v>
      </c>
      <c r="G40" s="20" t="str">
        <f>IF(LEN(Table12_52_034[[#This Row],[Ledger Code]])&gt;3,"AR"&amp;Table12_52_034[[#This Row],[Ledger Code]],"TBC")</f>
        <v>AR5638</v>
      </c>
      <c r="H40" s="20"/>
      <c r="I40" s="20"/>
      <c r="J40" s="20"/>
      <c r="K40" s="20"/>
      <c r="L40" s="20"/>
      <c r="M40" s="20"/>
      <c r="N40" s="20"/>
      <c r="O40" s="20"/>
      <c r="P40" s="41">
        <v>0</v>
      </c>
      <c r="Q40" s="41">
        <v>2321.42</v>
      </c>
      <c r="R40" s="41">
        <v>3075.96</v>
      </c>
      <c r="S40" s="41">
        <v>2292.9</v>
      </c>
      <c r="T40" s="41">
        <v>530.02</v>
      </c>
      <c r="U40" s="41">
        <v>1586.2200000000003</v>
      </c>
      <c r="V40" s="41">
        <v>1495.2600000000002</v>
      </c>
      <c r="W40" s="41">
        <v>1317.31</v>
      </c>
    </row>
    <row r="41" spans="1:23" hidden="1" x14ac:dyDescent="0.25">
      <c r="A41" s="18">
        <v>1424</v>
      </c>
      <c r="B41" s="19">
        <v>5652</v>
      </c>
      <c r="C41" s="19" t="s">
        <v>86</v>
      </c>
      <c r="D41" s="19" t="s">
        <v>87</v>
      </c>
      <c r="E41" s="19" t="s">
        <v>9</v>
      </c>
      <c r="F41" s="19" t="s">
        <v>83</v>
      </c>
      <c r="G41" s="20" t="str">
        <f>IF(LEN(Table12_52_034[[#This Row],[Ledger Code]])&gt;3,"AR"&amp;Table12_52_034[[#This Row],[Ledger Code]],"TBC")</f>
        <v>AR5652</v>
      </c>
      <c r="H41" s="20"/>
      <c r="I41" s="20"/>
      <c r="J41" s="20"/>
      <c r="K41" s="20"/>
      <c r="L41" s="20"/>
      <c r="M41" s="20"/>
      <c r="N41" s="20"/>
      <c r="O41" s="20"/>
      <c r="P41" s="41">
        <v>312</v>
      </c>
      <c r="Q41" s="41">
        <v>664.5</v>
      </c>
      <c r="R41" s="41">
        <v>630.00000000000023</v>
      </c>
      <c r="S41" s="41">
        <v>196.5</v>
      </c>
      <c r="T41" s="41">
        <v>535.5</v>
      </c>
      <c r="U41" s="41">
        <v>493.5</v>
      </c>
      <c r="V41" s="41">
        <v>600</v>
      </c>
      <c r="W41" s="41">
        <v>561</v>
      </c>
    </row>
    <row r="42" spans="1:23" hidden="1" x14ac:dyDescent="0.25">
      <c r="A42" s="18">
        <v>1584</v>
      </c>
      <c r="B42" s="19">
        <v>8304</v>
      </c>
      <c r="C42" s="19" t="s">
        <v>88</v>
      </c>
      <c r="D42" s="19" t="s">
        <v>89</v>
      </c>
      <c r="E42" s="19" t="s">
        <v>26</v>
      </c>
      <c r="F42" s="19" t="s">
        <v>48</v>
      </c>
      <c r="G42" s="20" t="str">
        <f>IF(LEN(Table12_52_034[[#This Row],[Ledger Code]])&gt;3,"AR"&amp;Table12_52_034[[#This Row],[Ledger Code]],"TBC")</f>
        <v>AR8304</v>
      </c>
      <c r="H42" s="20"/>
      <c r="I42" s="20"/>
      <c r="J42" s="20"/>
      <c r="K42" s="20"/>
      <c r="L42" s="20"/>
      <c r="M42" s="20"/>
      <c r="N42" s="20"/>
      <c r="O42" s="20"/>
      <c r="P42" s="41">
        <v>0</v>
      </c>
      <c r="Q42" s="41">
        <v>0</v>
      </c>
      <c r="R42" s="41">
        <v>1304.1999999999998</v>
      </c>
      <c r="S42" s="41">
        <v>0</v>
      </c>
      <c r="T42" s="41">
        <v>0</v>
      </c>
      <c r="U42" s="41">
        <v>0</v>
      </c>
      <c r="V42" s="41">
        <v>202.94</v>
      </c>
      <c r="W42" s="41">
        <v>345.23</v>
      </c>
    </row>
    <row r="43" spans="1:23" hidden="1" x14ac:dyDescent="0.25">
      <c r="A43" s="18">
        <v>1592</v>
      </c>
      <c r="B43" s="19">
        <v>8311</v>
      </c>
      <c r="C43" s="19" t="s">
        <v>90</v>
      </c>
      <c r="D43" s="19" t="s">
        <v>91</v>
      </c>
      <c r="E43" s="19" t="s">
        <v>26</v>
      </c>
      <c r="F43" s="19" t="s">
        <v>48</v>
      </c>
      <c r="G43" s="20" t="str">
        <f>IF(LEN(Table12_52_034[[#This Row],[Ledger Code]])&gt;3,"AR"&amp;Table12_52_034[[#This Row],[Ledger Code]],"TBC")</f>
        <v>AR8311</v>
      </c>
      <c r="H43" s="20"/>
      <c r="I43" s="20"/>
      <c r="J43" s="20"/>
      <c r="K43" s="20"/>
      <c r="L43" s="20"/>
      <c r="M43" s="20"/>
      <c r="N43" s="20"/>
      <c r="O43" s="20"/>
      <c r="P43" s="41">
        <v>154.16</v>
      </c>
      <c r="Q43" s="41">
        <v>1692.6100000000001</v>
      </c>
      <c r="R43" s="41">
        <v>5520.47</v>
      </c>
      <c r="S43" s="41">
        <v>1777.18</v>
      </c>
      <c r="T43" s="41">
        <v>2445.34</v>
      </c>
      <c r="U43" s="41">
        <v>856.5</v>
      </c>
      <c r="V43" s="41">
        <v>850.97</v>
      </c>
      <c r="W43" s="41">
        <v>0</v>
      </c>
    </row>
    <row r="44" spans="1:23" hidden="1" x14ac:dyDescent="0.25">
      <c r="A44" s="18">
        <v>1733</v>
      </c>
      <c r="B44" s="19">
        <v>2965</v>
      </c>
      <c r="C44" s="19" t="s">
        <v>92</v>
      </c>
      <c r="D44" s="19" t="s">
        <v>93</v>
      </c>
      <c r="E44" s="19" t="s">
        <v>57</v>
      </c>
      <c r="F44" s="19" t="s">
        <v>70</v>
      </c>
      <c r="G44" s="20" t="str">
        <f>IF(LEN(Table12_52_034[[#This Row],[Ledger Code]])&gt;3,"AR"&amp;Table12_52_034[[#This Row],[Ledger Code]],"TBC")</f>
        <v>AR2965</v>
      </c>
      <c r="H44" s="20"/>
      <c r="I44" s="20"/>
      <c r="J44" s="20"/>
      <c r="K44" s="20"/>
      <c r="L44" s="20"/>
      <c r="M44" s="20"/>
      <c r="N44" s="20"/>
      <c r="O44" s="20"/>
      <c r="P44" s="41">
        <v>1505.5</v>
      </c>
      <c r="Q44" s="41">
        <v>1505.5</v>
      </c>
      <c r="R44" s="41">
        <v>1505.5</v>
      </c>
      <c r="S44" s="41">
        <v>1505.5</v>
      </c>
      <c r="T44" s="41">
        <v>0</v>
      </c>
      <c r="U44" s="41">
        <v>0</v>
      </c>
      <c r="V44" s="41">
        <v>0</v>
      </c>
      <c r="W44" s="41">
        <v>0</v>
      </c>
    </row>
    <row r="45" spans="1:23" hidden="1" x14ac:dyDescent="0.25">
      <c r="A45" s="18">
        <v>1812</v>
      </c>
      <c r="B45" s="19">
        <v>3115</v>
      </c>
      <c r="C45" s="19" t="s">
        <v>337</v>
      </c>
      <c r="D45" s="19" t="s">
        <v>338</v>
      </c>
      <c r="E45" s="19" t="s">
        <v>57</v>
      </c>
      <c r="F45" s="19" t="s">
        <v>70</v>
      </c>
      <c r="G45" s="20" t="str">
        <f>IF(LEN(Table12_52_034[[#This Row],[Ledger Code]])&gt;3,"AR"&amp;Table12_52_034[[#This Row],[Ledger Code]],"TBC")</f>
        <v>AR3115</v>
      </c>
      <c r="H45" s="20"/>
      <c r="I45" s="20"/>
      <c r="J45" s="20"/>
      <c r="K45" s="20"/>
      <c r="L45" s="20"/>
      <c r="M45" s="20"/>
      <c r="N45" s="20"/>
      <c r="O45" s="20"/>
      <c r="P45" s="41">
        <v>0</v>
      </c>
      <c r="Q45" s="41">
        <v>832.95</v>
      </c>
      <c r="R45" s="41">
        <v>0</v>
      </c>
      <c r="S45" s="41">
        <v>373.80999999999995</v>
      </c>
      <c r="T45" s="41">
        <v>887.02</v>
      </c>
      <c r="U45" s="41">
        <v>-220.55</v>
      </c>
      <c r="V45" s="41">
        <v>0</v>
      </c>
      <c r="W45" s="41">
        <v>0</v>
      </c>
    </row>
    <row r="46" spans="1:23" hidden="1" x14ac:dyDescent="0.25">
      <c r="A46" s="18">
        <v>1855</v>
      </c>
      <c r="B46" s="19">
        <v>3075</v>
      </c>
      <c r="C46" s="19" t="s">
        <v>94</v>
      </c>
      <c r="D46" s="19" t="s">
        <v>95</v>
      </c>
      <c r="E46" s="19" t="s">
        <v>57</v>
      </c>
      <c r="F46" s="19" t="s">
        <v>70</v>
      </c>
      <c r="G46" s="20" t="str">
        <f>IF(LEN(Table12_52_034[[#This Row],[Ledger Code]])&gt;3,"AR"&amp;Table12_52_034[[#This Row],[Ledger Code]],"TBC")</f>
        <v>AR3075</v>
      </c>
      <c r="H46" s="20"/>
      <c r="I46" s="20"/>
      <c r="J46" s="20"/>
      <c r="K46" s="20"/>
      <c r="L46" s="20"/>
      <c r="M46" s="20"/>
      <c r="N46" s="20"/>
      <c r="O46" s="20"/>
      <c r="P46" s="41">
        <v>0</v>
      </c>
      <c r="Q46" s="41">
        <v>296.19000000000005</v>
      </c>
      <c r="R46" s="41">
        <v>2405.56</v>
      </c>
      <c r="S46" s="41">
        <v>1292.5699999999997</v>
      </c>
      <c r="T46" s="41">
        <v>717.5</v>
      </c>
      <c r="U46" s="41">
        <v>1139.3400000000001</v>
      </c>
      <c r="V46" s="41">
        <v>975.36999999999989</v>
      </c>
      <c r="W46" s="41">
        <v>1024.1099999999997</v>
      </c>
    </row>
    <row r="47" spans="1:23" hidden="1" x14ac:dyDescent="0.25">
      <c r="A47" s="18">
        <v>1984</v>
      </c>
      <c r="B47" s="19">
        <v>5902</v>
      </c>
      <c r="C47" s="19" t="s">
        <v>96</v>
      </c>
      <c r="D47" s="19" t="s">
        <v>97</v>
      </c>
      <c r="E47" s="19" t="s">
        <v>9</v>
      </c>
      <c r="F47" s="19" t="s">
        <v>98</v>
      </c>
      <c r="G47" s="20" t="str">
        <f>IF(LEN(Table12_52_034[[#This Row],[Ledger Code]])&gt;3,"AR"&amp;Table12_52_034[[#This Row],[Ledger Code]],"TBC")</f>
        <v>AR5902</v>
      </c>
      <c r="H47" s="20"/>
      <c r="I47" s="20"/>
      <c r="J47" s="20"/>
      <c r="K47" s="20"/>
      <c r="L47" s="20"/>
      <c r="M47" s="20"/>
      <c r="N47" s="20"/>
      <c r="O47" s="20"/>
      <c r="P47" s="41">
        <v>0</v>
      </c>
      <c r="Q47" s="41">
        <v>768.4</v>
      </c>
      <c r="R47" s="41">
        <v>3901.96</v>
      </c>
      <c r="S47" s="41">
        <v>2259.6899999999996</v>
      </c>
      <c r="T47" s="41">
        <v>-1188.3399999999997</v>
      </c>
      <c r="U47" s="41">
        <v>3360.1600000000008</v>
      </c>
      <c r="V47" s="41">
        <v>868.45000000000027</v>
      </c>
      <c r="W47" s="41">
        <v>-2.2737367544323206E-13</v>
      </c>
    </row>
    <row r="48" spans="1:23" hidden="1" x14ac:dyDescent="0.25">
      <c r="A48" s="18">
        <v>2009</v>
      </c>
      <c r="B48" s="19">
        <v>5809</v>
      </c>
      <c r="C48" s="19" t="s">
        <v>99</v>
      </c>
      <c r="D48" s="19" t="s">
        <v>100</v>
      </c>
      <c r="E48" s="19" t="s">
        <v>9</v>
      </c>
      <c r="F48" s="19" t="s">
        <v>98</v>
      </c>
      <c r="G48" s="20" t="str">
        <f>IF(LEN(Table12_52_034[[#This Row],[Ledger Code]])&gt;3,"AR"&amp;Table12_52_034[[#This Row],[Ledger Code]],"TBC")</f>
        <v>AR5809</v>
      </c>
      <c r="H48" s="20"/>
      <c r="I48" s="20"/>
      <c r="J48" s="20"/>
      <c r="K48" s="20"/>
      <c r="L48" s="20"/>
      <c r="M48" s="20"/>
      <c r="N48" s="20"/>
      <c r="O48" s="20"/>
      <c r="P48" s="41">
        <v>0</v>
      </c>
      <c r="Q48" s="41">
        <v>0</v>
      </c>
      <c r="R48" s="41">
        <v>0</v>
      </c>
      <c r="S48" s="41">
        <v>0</v>
      </c>
      <c r="T48" s="41">
        <v>0</v>
      </c>
      <c r="U48" s="41">
        <v>0</v>
      </c>
      <c r="V48" s="41">
        <v>0</v>
      </c>
      <c r="W48" s="41">
        <v>0</v>
      </c>
    </row>
    <row r="49" spans="1:23" hidden="1" x14ac:dyDescent="0.25">
      <c r="A49" s="18">
        <v>2065</v>
      </c>
      <c r="B49" s="19">
        <v>5765</v>
      </c>
      <c r="C49" s="19" t="s">
        <v>101</v>
      </c>
      <c r="D49" s="19" t="s">
        <v>102</v>
      </c>
      <c r="E49" s="19" t="s">
        <v>9</v>
      </c>
      <c r="F49" s="19" t="s">
        <v>98</v>
      </c>
      <c r="G49" s="20" t="str">
        <f>IF(LEN(Table12_52_034[[#This Row],[Ledger Code]])&gt;3,"AR"&amp;Table12_52_034[[#This Row],[Ledger Code]],"TBC")</f>
        <v>AR5765</v>
      </c>
      <c r="H49" s="20"/>
      <c r="I49" s="20"/>
      <c r="J49" s="20"/>
      <c r="K49" s="20"/>
      <c r="L49" s="20"/>
      <c r="M49" s="20"/>
      <c r="N49" s="20"/>
      <c r="O49" s="20"/>
      <c r="P49" s="41">
        <v>0</v>
      </c>
      <c r="Q49" s="41">
        <v>7482.16</v>
      </c>
      <c r="R49" s="41">
        <v>2385.4200000000005</v>
      </c>
      <c r="S49" s="41">
        <v>4866.1600000000017</v>
      </c>
      <c r="T49" s="41">
        <v>0</v>
      </c>
      <c r="U49" s="41">
        <v>3353.5399999999995</v>
      </c>
      <c r="V49" s="41">
        <v>4103.7899999999991</v>
      </c>
      <c r="W49" s="41">
        <v>0</v>
      </c>
    </row>
    <row r="50" spans="1:23" hidden="1" x14ac:dyDescent="0.25">
      <c r="A50" s="18">
        <v>2066</v>
      </c>
      <c r="B50" s="19">
        <v>5766</v>
      </c>
      <c r="C50" s="19" t="s">
        <v>103</v>
      </c>
      <c r="D50" s="19" t="s">
        <v>104</v>
      </c>
      <c r="E50" s="19" t="s">
        <v>9</v>
      </c>
      <c r="F50" s="19" t="s">
        <v>98</v>
      </c>
      <c r="G50" s="20" t="str">
        <f>IF(LEN(Table12_52_034[[#This Row],[Ledger Code]])&gt;3,"AR"&amp;Table12_52_034[[#This Row],[Ledger Code]],"TBC")</f>
        <v>AR5766</v>
      </c>
      <c r="H50" s="20"/>
      <c r="I50" s="20"/>
      <c r="J50" s="20"/>
      <c r="K50" s="20"/>
      <c r="L50" s="20"/>
      <c r="M50" s="20"/>
      <c r="N50" s="20"/>
      <c r="O50" s="20"/>
      <c r="P50" s="41">
        <v>0</v>
      </c>
      <c r="Q50" s="41">
        <v>0</v>
      </c>
      <c r="R50" s="41">
        <v>0</v>
      </c>
      <c r="S50" s="41">
        <v>0</v>
      </c>
      <c r="T50" s="41">
        <v>0</v>
      </c>
      <c r="U50" s="41">
        <v>0</v>
      </c>
      <c r="V50" s="41">
        <v>0</v>
      </c>
      <c r="W50" s="41">
        <v>0</v>
      </c>
    </row>
    <row r="51" spans="1:23" hidden="1" x14ac:dyDescent="0.25">
      <c r="A51" s="18">
        <v>2122</v>
      </c>
      <c r="B51" s="19">
        <v>5812</v>
      </c>
      <c r="C51" s="19" t="s">
        <v>323</v>
      </c>
      <c r="D51" s="19">
        <v>0</v>
      </c>
      <c r="E51" s="19" t="s">
        <v>9</v>
      </c>
      <c r="F51" s="19" t="s">
        <v>98</v>
      </c>
      <c r="G51" s="20" t="str">
        <f>IF(LEN(Table12_52_034[[#This Row],[Ledger Code]])&gt;3,"AR"&amp;Table12_52_034[[#This Row],[Ledger Code]],"TBC")</f>
        <v>AR5812</v>
      </c>
      <c r="H51" s="20"/>
      <c r="I51" s="20"/>
      <c r="J51" s="20"/>
      <c r="K51" s="20"/>
      <c r="L51" s="20"/>
      <c r="M51" s="20"/>
      <c r="N51" s="20"/>
      <c r="O51" s="20"/>
      <c r="P51" s="41">
        <v>0</v>
      </c>
      <c r="Q51" s="41">
        <v>0</v>
      </c>
      <c r="R51" s="41">
        <v>0</v>
      </c>
      <c r="S51" s="41">
        <v>0</v>
      </c>
      <c r="T51" s="41">
        <v>0</v>
      </c>
      <c r="U51" s="41">
        <v>0</v>
      </c>
      <c r="V51" s="41">
        <v>0</v>
      </c>
      <c r="W51" s="41">
        <v>0</v>
      </c>
    </row>
    <row r="52" spans="1:23" hidden="1" x14ac:dyDescent="0.25">
      <c r="A52" s="18">
        <v>2215</v>
      </c>
      <c r="B52" s="19">
        <v>6045</v>
      </c>
      <c r="C52" s="19" t="s">
        <v>105</v>
      </c>
      <c r="D52" s="19" t="s">
        <v>106</v>
      </c>
      <c r="E52" s="19" t="s">
        <v>9</v>
      </c>
      <c r="F52" s="19" t="s">
        <v>98</v>
      </c>
      <c r="G52" s="20" t="str">
        <f>IF(LEN(Table12_52_034[[#This Row],[Ledger Code]])&gt;3,"AR"&amp;Table12_52_034[[#This Row],[Ledger Code]],"TBC")</f>
        <v>AR6045</v>
      </c>
      <c r="H52" s="20"/>
      <c r="I52" s="20"/>
      <c r="J52" s="20"/>
      <c r="K52" s="20"/>
      <c r="L52" s="20"/>
      <c r="M52" s="20"/>
      <c r="N52" s="20"/>
      <c r="O52" s="20"/>
      <c r="P52" s="41">
        <v>0</v>
      </c>
      <c r="Q52" s="41">
        <v>2674.3</v>
      </c>
      <c r="R52" s="41">
        <v>-2.2737367544323206E-13</v>
      </c>
      <c r="S52" s="41">
        <v>3812.76</v>
      </c>
      <c r="T52" s="41">
        <v>666.39</v>
      </c>
      <c r="U52" s="41">
        <v>3264.880000000001</v>
      </c>
      <c r="V52" s="41">
        <v>0</v>
      </c>
      <c r="W52" s="41">
        <v>2837.82</v>
      </c>
    </row>
    <row r="53" spans="1:23" hidden="1" x14ac:dyDescent="0.25">
      <c r="A53" s="18">
        <v>2232</v>
      </c>
      <c r="B53" s="19">
        <v>6063</v>
      </c>
      <c r="C53" s="19" t="s">
        <v>107</v>
      </c>
      <c r="D53" s="19" t="s">
        <v>108</v>
      </c>
      <c r="E53" s="19" t="s">
        <v>9</v>
      </c>
      <c r="F53" s="19" t="s">
        <v>98</v>
      </c>
      <c r="G53" s="20" t="str">
        <f>IF(LEN(Table12_52_034[[#This Row],[Ledger Code]])&gt;3,"AR"&amp;Table12_52_034[[#This Row],[Ledger Code]],"TBC")</f>
        <v>AR6063</v>
      </c>
      <c r="H53" s="20"/>
      <c r="I53" s="20"/>
      <c r="J53" s="20"/>
      <c r="K53" s="20"/>
      <c r="L53" s="20"/>
      <c r="M53" s="20"/>
      <c r="N53" s="20"/>
      <c r="O53" s="20"/>
      <c r="P53" s="41">
        <v>0</v>
      </c>
      <c r="Q53" s="41">
        <v>803.41</v>
      </c>
      <c r="R53" s="41">
        <v>0</v>
      </c>
      <c r="S53" s="41">
        <v>740.66000000000008</v>
      </c>
      <c r="T53" s="41">
        <v>0</v>
      </c>
      <c r="U53" s="41">
        <v>1360.7500000000002</v>
      </c>
      <c r="V53" s="41">
        <v>-8.5265128291212022E-14</v>
      </c>
      <c r="W53" s="41">
        <v>502.78000000000003</v>
      </c>
    </row>
    <row r="54" spans="1:23" hidden="1" x14ac:dyDescent="0.25">
      <c r="A54" s="18">
        <v>2347</v>
      </c>
      <c r="B54" s="19">
        <v>5997</v>
      </c>
      <c r="C54" s="19" t="s">
        <v>109</v>
      </c>
      <c r="D54" s="19" t="s">
        <v>110</v>
      </c>
      <c r="E54" s="19" t="s">
        <v>9</v>
      </c>
      <c r="F54" s="19" t="s">
        <v>98</v>
      </c>
      <c r="G54" s="20" t="str">
        <f>IF(LEN(Table12_52_034[[#This Row],[Ledger Code]])&gt;3,"AR"&amp;Table12_52_034[[#This Row],[Ledger Code]],"TBC")</f>
        <v>AR5997</v>
      </c>
      <c r="H54" s="20"/>
      <c r="I54" s="20"/>
      <c r="J54" s="20"/>
      <c r="K54" s="20"/>
      <c r="L54" s="20"/>
      <c r="M54" s="20"/>
      <c r="N54" s="20"/>
      <c r="O54" s="20"/>
      <c r="P54" s="41">
        <v>0</v>
      </c>
      <c r="Q54" s="41">
        <v>529.91999999999985</v>
      </c>
      <c r="R54" s="41">
        <v>494.96000000000009</v>
      </c>
      <c r="S54" s="41">
        <v>585.59000000000015</v>
      </c>
      <c r="T54" s="41">
        <v>589.07999999999993</v>
      </c>
      <c r="U54" s="41">
        <v>572.90000000000009</v>
      </c>
      <c r="V54" s="41">
        <v>406.7399999999999</v>
      </c>
      <c r="W54" s="41">
        <v>308.12999999999994</v>
      </c>
    </row>
    <row r="55" spans="1:23" hidden="1" x14ac:dyDescent="0.25">
      <c r="A55" s="18">
        <v>2348</v>
      </c>
      <c r="B55" s="19">
        <v>5999</v>
      </c>
      <c r="C55" s="19" t="s">
        <v>111</v>
      </c>
      <c r="D55" s="19" t="s">
        <v>110</v>
      </c>
      <c r="E55" s="19" t="s">
        <v>9</v>
      </c>
      <c r="F55" s="19" t="s">
        <v>98</v>
      </c>
      <c r="G55" s="20" t="str">
        <f>IF(LEN(Table12_52_034[[#This Row],[Ledger Code]])&gt;3,"AR"&amp;Table12_52_034[[#This Row],[Ledger Code]],"TBC")</f>
        <v>AR5999</v>
      </c>
      <c r="H55" s="20"/>
      <c r="I55" s="20"/>
      <c r="J55" s="20"/>
      <c r="K55" s="20"/>
      <c r="L55" s="20"/>
      <c r="M55" s="20"/>
      <c r="N55" s="20"/>
      <c r="O55" s="20"/>
      <c r="P55" s="41">
        <v>0</v>
      </c>
      <c r="Q55" s="41">
        <v>89.32</v>
      </c>
      <c r="R55" s="41">
        <v>92.229999999999905</v>
      </c>
      <c r="S55" s="41">
        <v>95.149999999999963</v>
      </c>
      <c r="T55" s="41">
        <v>98.060000000000016</v>
      </c>
      <c r="U55" s="41">
        <v>95.149999999999977</v>
      </c>
      <c r="V55" s="41">
        <v>97.759999999999991</v>
      </c>
      <c r="W55" s="41">
        <v>107.61999999999998</v>
      </c>
    </row>
    <row r="56" spans="1:23" hidden="1" x14ac:dyDescent="0.25">
      <c r="A56" s="18">
        <v>2351</v>
      </c>
      <c r="B56" s="19">
        <v>5963</v>
      </c>
      <c r="C56" s="19" t="s">
        <v>112</v>
      </c>
      <c r="D56" s="19" t="s">
        <v>113</v>
      </c>
      <c r="E56" s="19" t="s">
        <v>9</v>
      </c>
      <c r="F56" s="19" t="s">
        <v>98</v>
      </c>
      <c r="G56" s="20" t="str">
        <f>IF(LEN(Table12_52_034[[#This Row],[Ledger Code]])&gt;3,"AR"&amp;Table12_52_034[[#This Row],[Ledger Code]],"TBC")</f>
        <v>AR5963</v>
      </c>
      <c r="H56" s="20"/>
      <c r="I56" s="20"/>
      <c r="J56" s="20"/>
      <c r="K56" s="20"/>
      <c r="L56" s="20"/>
      <c r="M56" s="20"/>
      <c r="N56" s="20"/>
      <c r="O56" s="20"/>
      <c r="P56" s="41">
        <v>0</v>
      </c>
      <c r="Q56" s="41">
        <v>269.99000000000007</v>
      </c>
      <c r="R56" s="41">
        <v>252.49999999999994</v>
      </c>
      <c r="S56" s="41">
        <v>-5.6843418860808015E-14</v>
      </c>
      <c r="T56" s="41">
        <v>0</v>
      </c>
      <c r="U56" s="41">
        <v>89.32</v>
      </c>
      <c r="V56" s="41">
        <v>0</v>
      </c>
      <c r="W56" s="41">
        <v>0</v>
      </c>
    </row>
    <row r="57" spans="1:23" hidden="1" x14ac:dyDescent="0.25">
      <c r="A57" s="18">
        <v>2447</v>
      </c>
      <c r="B57" s="19">
        <v>3414</v>
      </c>
      <c r="C57" s="19" t="s">
        <v>114</v>
      </c>
      <c r="D57" s="19" t="s">
        <v>115</v>
      </c>
      <c r="E57" s="19" t="s">
        <v>57</v>
      </c>
      <c r="F57" s="19" t="s">
        <v>58</v>
      </c>
      <c r="G57" s="20" t="str">
        <f>IF(LEN(Table12_52_034[[#This Row],[Ledger Code]])&gt;3,"AR"&amp;Table12_52_034[[#This Row],[Ledger Code]],"TBC")</f>
        <v>AR3414</v>
      </c>
      <c r="H57" s="20"/>
      <c r="I57" s="20"/>
      <c r="J57" s="20"/>
      <c r="K57" s="20"/>
      <c r="L57" s="20"/>
      <c r="M57" s="20"/>
      <c r="N57" s="20"/>
      <c r="O57" s="20"/>
      <c r="P57" s="41">
        <v>0</v>
      </c>
      <c r="Q57" s="41">
        <v>0</v>
      </c>
      <c r="R57" s="41">
        <v>0</v>
      </c>
      <c r="S57" s="41">
        <v>0</v>
      </c>
      <c r="T57" s="41">
        <v>0</v>
      </c>
      <c r="U57" s="41">
        <v>0</v>
      </c>
      <c r="V57" s="41">
        <v>0</v>
      </c>
      <c r="W57" s="41">
        <v>0</v>
      </c>
    </row>
    <row r="58" spans="1:23" hidden="1" x14ac:dyDescent="0.25">
      <c r="A58" s="18">
        <v>2467</v>
      </c>
      <c r="B58" s="19">
        <v>3466</v>
      </c>
      <c r="C58" s="19" t="s">
        <v>320</v>
      </c>
      <c r="D58" s="19" t="s">
        <v>321</v>
      </c>
      <c r="E58" s="19" t="s">
        <v>57</v>
      </c>
      <c r="F58" s="19" t="s">
        <v>58</v>
      </c>
      <c r="G58" s="20" t="str">
        <f>IF(LEN(Table12_52_034[[#This Row],[Ledger Code]])&gt;3,"AR"&amp;Table12_52_034[[#This Row],[Ledger Code]],"TBC")</f>
        <v>AR3466</v>
      </c>
      <c r="H58" s="20"/>
      <c r="I58" s="20"/>
      <c r="J58" s="20"/>
      <c r="K58" s="20"/>
      <c r="L58" s="20"/>
      <c r="M58" s="20"/>
      <c r="N58" s="20"/>
      <c r="O58" s="20"/>
      <c r="P58" s="41">
        <v>634.30000000000064</v>
      </c>
      <c r="Q58" s="41">
        <v>211.11</v>
      </c>
      <c r="R58" s="41">
        <v>84.6</v>
      </c>
      <c r="S58" s="41">
        <v>-1441</v>
      </c>
      <c r="T58" s="41">
        <v>-51.259999999999977</v>
      </c>
      <c r="U58" s="41">
        <v>114.14000000000001</v>
      </c>
      <c r="V58" s="41">
        <v>0</v>
      </c>
      <c r="W58" s="41">
        <v>0</v>
      </c>
    </row>
    <row r="59" spans="1:23" hidden="1" x14ac:dyDescent="0.25">
      <c r="A59" s="18">
        <v>2525</v>
      </c>
      <c r="B59" s="19">
        <v>3262</v>
      </c>
      <c r="C59" s="19" t="s">
        <v>334</v>
      </c>
      <c r="D59" s="19" t="s">
        <v>335</v>
      </c>
      <c r="E59" s="19" t="s">
        <v>57</v>
      </c>
      <c r="F59" s="19" t="s">
        <v>58</v>
      </c>
      <c r="G59" s="20" t="str">
        <f>IF(LEN(Table12_52_034[[#This Row],[Ledger Code]])&gt;3,"AR"&amp;Table12_52_034[[#This Row],[Ledger Code]],"TBC")</f>
        <v>AR3262</v>
      </c>
      <c r="H59" s="20"/>
      <c r="I59" s="20"/>
      <c r="J59" s="20"/>
      <c r="K59" s="20"/>
      <c r="L59" s="20"/>
      <c r="M59" s="20"/>
      <c r="N59" s="20"/>
      <c r="O59" s="20"/>
      <c r="P59" s="41">
        <v>1414.58</v>
      </c>
      <c r="Q59" s="41">
        <v>2138.5099999999998</v>
      </c>
      <c r="R59" s="41">
        <v>-780.74000000000012</v>
      </c>
      <c r="S59" s="41">
        <v>2282.5299999999997</v>
      </c>
      <c r="T59" s="41">
        <v>610.08000000000004</v>
      </c>
      <c r="U59" s="41">
        <v>0</v>
      </c>
      <c r="V59" s="41">
        <v>-4.5474735088646412E-13</v>
      </c>
      <c r="W59" s="41">
        <v>4.5474735088646412E-13</v>
      </c>
    </row>
    <row r="60" spans="1:23" hidden="1" x14ac:dyDescent="0.25">
      <c r="A60" s="18">
        <v>2529</v>
      </c>
      <c r="B60" s="19">
        <v>3283</v>
      </c>
      <c r="C60" s="19" t="s">
        <v>116</v>
      </c>
      <c r="D60" s="19" t="s">
        <v>117</v>
      </c>
      <c r="E60" s="19" t="s">
        <v>57</v>
      </c>
      <c r="F60" s="19" t="s">
        <v>58</v>
      </c>
      <c r="G60" s="20" t="str">
        <f>IF(LEN(Table12_52_034[[#This Row],[Ledger Code]])&gt;3,"AR"&amp;Table12_52_034[[#This Row],[Ledger Code]],"TBC")</f>
        <v>AR3283</v>
      </c>
      <c r="H60" s="20"/>
      <c r="I60" s="20"/>
      <c r="J60" s="20"/>
      <c r="K60" s="20"/>
      <c r="L60" s="20"/>
      <c r="M60" s="20"/>
      <c r="N60" s="20"/>
      <c r="O60" s="20"/>
      <c r="P60" s="41">
        <v>266.11</v>
      </c>
      <c r="Q60" s="41">
        <v>429.01</v>
      </c>
      <c r="R60" s="41">
        <v>285.93999999999994</v>
      </c>
      <c r="S60" s="41">
        <v>1004.63</v>
      </c>
      <c r="T60" s="41">
        <v>888.05</v>
      </c>
      <c r="U60" s="41">
        <v>703.71999999999991</v>
      </c>
      <c r="V60" s="41">
        <v>541.97</v>
      </c>
      <c r="W60" s="41">
        <v>-1.1368683772161603E-13</v>
      </c>
    </row>
    <row r="61" spans="1:23" hidden="1" x14ac:dyDescent="0.25">
      <c r="A61" s="18">
        <v>2555</v>
      </c>
      <c r="B61" s="19">
        <v>3325</v>
      </c>
      <c r="C61" s="19" t="s">
        <v>118</v>
      </c>
      <c r="D61" s="19" t="s">
        <v>119</v>
      </c>
      <c r="E61" s="19" t="s">
        <v>57</v>
      </c>
      <c r="F61" s="19" t="s">
        <v>58</v>
      </c>
      <c r="G61" s="20" t="str">
        <f>IF(LEN(Table12_52_034[[#This Row],[Ledger Code]])&gt;3,"AR"&amp;Table12_52_034[[#This Row],[Ledger Code]],"TBC")</f>
        <v>AR3325</v>
      </c>
      <c r="H61" s="20"/>
      <c r="I61" s="20"/>
      <c r="J61" s="20"/>
      <c r="K61" s="20"/>
      <c r="L61" s="20"/>
      <c r="M61" s="20"/>
      <c r="N61" s="20"/>
      <c r="O61" s="20"/>
      <c r="P61" s="41">
        <v>4.3100000000000023</v>
      </c>
      <c r="Q61" s="41">
        <v>244.43999999999988</v>
      </c>
      <c r="R61" s="41">
        <v>262.02999999999997</v>
      </c>
      <c r="S61" s="41">
        <v>207.53000000000003</v>
      </c>
      <c r="T61" s="41">
        <v>172.8</v>
      </c>
      <c r="U61" s="41">
        <v>269.22000000000003</v>
      </c>
      <c r="V61" s="41">
        <v>280.52000000000004</v>
      </c>
      <c r="W61" s="41">
        <v>280.79000000000008</v>
      </c>
    </row>
    <row r="62" spans="1:23" hidden="1" x14ac:dyDescent="0.25">
      <c r="A62" s="18">
        <v>2558</v>
      </c>
      <c r="B62" s="19">
        <v>3160</v>
      </c>
      <c r="C62" s="19" t="s">
        <v>120</v>
      </c>
      <c r="D62" s="19" t="s">
        <v>121</v>
      </c>
      <c r="E62" s="19" t="s">
        <v>57</v>
      </c>
      <c r="F62" s="19" t="s">
        <v>58</v>
      </c>
      <c r="G62" s="20" t="str">
        <f>IF(LEN(Table12_52_034[[#This Row],[Ledger Code]])&gt;3,"AR"&amp;Table12_52_034[[#This Row],[Ledger Code]],"TBC")</f>
        <v>AR3160</v>
      </c>
      <c r="H62" s="20"/>
      <c r="I62" s="20"/>
      <c r="J62" s="20"/>
      <c r="K62" s="20"/>
      <c r="L62" s="20"/>
      <c r="M62" s="20"/>
      <c r="N62" s="20"/>
      <c r="O62" s="20"/>
      <c r="P62" s="41">
        <v>0</v>
      </c>
      <c r="Q62" s="41">
        <v>0</v>
      </c>
      <c r="R62" s="41">
        <v>1632.06</v>
      </c>
      <c r="S62" s="41">
        <v>3023.39</v>
      </c>
      <c r="T62" s="41">
        <v>1530.46</v>
      </c>
      <c r="U62" s="41">
        <v>1396.87</v>
      </c>
      <c r="V62" s="41">
        <v>1359.0500000000002</v>
      </c>
      <c r="W62" s="41">
        <v>785.8</v>
      </c>
    </row>
    <row r="63" spans="1:23" hidden="1" x14ac:dyDescent="0.25">
      <c r="A63" s="18">
        <v>2564</v>
      </c>
      <c r="B63" s="19">
        <v>3166</v>
      </c>
      <c r="C63" s="19" t="s">
        <v>122</v>
      </c>
      <c r="D63" s="19" t="s">
        <v>123</v>
      </c>
      <c r="E63" s="19" t="s">
        <v>57</v>
      </c>
      <c r="F63" s="19" t="s">
        <v>58</v>
      </c>
      <c r="G63" s="20" t="str">
        <f>IF(LEN(Table12_52_034[[#This Row],[Ledger Code]])&gt;3,"AR"&amp;Table12_52_034[[#This Row],[Ledger Code]],"TBC")</f>
        <v>AR3166</v>
      </c>
      <c r="H63" s="20"/>
      <c r="I63" s="20"/>
      <c r="J63" s="20"/>
      <c r="K63" s="20"/>
      <c r="L63" s="20"/>
      <c r="M63" s="20"/>
      <c r="N63" s="20"/>
      <c r="O63" s="20"/>
      <c r="P63" s="41">
        <v>0</v>
      </c>
      <c r="Q63" s="41">
        <v>0</v>
      </c>
      <c r="R63" s="41">
        <v>1221.6999999999998</v>
      </c>
      <c r="S63" s="41">
        <v>674.28</v>
      </c>
      <c r="T63" s="41">
        <v>768.1</v>
      </c>
      <c r="U63" s="41">
        <v>610.66999999999996</v>
      </c>
      <c r="V63" s="41">
        <v>0</v>
      </c>
      <c r="W63" s="41">
        <v>718.1</v>
      </c>
    </row>
    <row r="64" spans="1:23" hidden="1" x14ac:dyDescent="0.25">
      <c r="A64" s="18">
        <v>2566</v>
      </c>
      <c r="B64" s="19">
        <v>3168</v>
      </c>
      <c r="C64" s="19" t="s">
        <v>124</v>
      </c>
      <c r="D64" s="19" t="s">
        <v>125</v>
      </c>
      <c r="E64" s="19" t="s">
        <v>57</v>
      </c>
      <c r="F64" s="19" t="s">
        <v>58</v>
      </c>
      <c r="G64" s="20" t="str">
        <f>IF(LEN(Table12_52_034[[#This Row],[Ledger Code]])&gt;3,"AR"&amp;Table12_52_034[[#This Row],[Ledger Code]],"TBC")</f>
        <v>AR3168</v>
      </c>
      <c r="H64" s="20"/>
      <c r="I64" s="20"/>
      <c r="J64" s="20"/>
      <c r="K64" s="20"/>
      <c r="L64" s="20"/>
      <c r="M64" s="20"/>
      <c r="N64" s="20"/>
      <c r="O64" s="20"/>
      <c r="P64" s="41">
        <v>707.29</v>
      </c>
      <c r="Q64" s="41">
        <v>707.29</v>
      </c>
      <c r="R64" s="41">
        <v>521.65</v>
      </c>
      <c r="S64" s="41">
        <v>1066.3600000000001</v>
      </c>
      <c r="T64" s="41">
        <v>327.78</v>
      </c>
      <c r="U64" s="41">
        <v>1109.4699999999998</v>
      </c>
      <c r="V64" s="41">
        <v>309.49</v>
      </c>
      <c r="W64" s="41">
        <v>538.96</v>
      </c>
    </row>
    <row r="65" spans="1:23" hidden="1" x14ac:dyDescent="0.25">
      <c r="A65" s="18">
        <v>2570</v>
      </c>
      <c r="B65" s="19">
        <v>3209</v>
      </c>
      <c r="C65" s="19" t="s">
        <v>126</v>
      </c>
      <c r="D65" s="19" t="s">
        <v>127</v>
      </c>
      <c r="E65" s="19" t="s">
        <v>57</v>
      </c>
      <c r="F65" s="19" t="s">
        <v>58</v>
      </c>
      <c r="G65" s="20" t="str">
        <f>IF(LEN(Table12_52_034[[#This Row],[Ledger Code]])&gt;3,"AR"&amp;Table12_52_034[[#This Row],[Ledger Code]],"TBC")</f>
        <v>AR3209</v>
      </c>
      <c r="H65" s="20"/>
      <c r="I65" s="20"/>
      <c r="J65" s="20"/>
      <c r="K65" s="20"/>
      <c r="L65" s="20"/>
      <c r="M65" s="20"/>
      <c r="N65" s="20"/>
      <c r="O65" s="20"/>
      <c r="P65" s="41">
        <v>0</v>
      </c>
      <c r="Q65" s="41">
        <v>0</v>
      </c>
      <c r="R65" s="41">
        <v>532.45000000000005</v>
      </c>
      <c r="S65" s="41">
        <v>249.93</v>
      </c>
      <c r="T65" s="41">
        <v>0</v>
      </c>
      <c r="U65" s="41">
        <v>531.69000000000005</v>
      </c>
      <c r="V65" s="41">
        <v>0</v>
      </c>
      <c r="W65" s="41">
        <v>289.81</v>
      </c>
    </row>
    <row r="66" spans="1:23" hidden="1" x14ac:dyDescent="0.25">
      <c r="A66" s="18">
        <v>2571</v>
      </c>
      <c r="B66" s="19">
        <v>3172</v>
      </c>
      <c r="C66" s="19" t="s">
        <v>128</v>
      </c>
      <c r="D66" s="19" t="s">
        <v>129</v>
      </c>
      <c r="E66" s="19" t="s">
        <v>57</v>
      </c>
      <c r="F66" s="19" t="s">
        <v>58</v>
      </c>
      <c r="G66" s="20" t="str">
        <f>IF(LEN(Table12_52_034[[#This Row],[Ledger Code]])&gt;3,"AR"&amp;Table12_52_034[[#This Row],[Ledger Code]],"TBC")</f>
        <v>AR3172</v>
      </c>
      <c r="H66" s="20"/>
      <c r="I66" s="20"/>
      <c r="J66" s="20"/>
      <c r="K66" s="20"/>
      <c r="L66" s="20"/>
      <c r="M66" s="20"/>
      <c r="N66" s="20"/>
      <c r="O66" s="20"/>
      <c r="P66" s="41">
        <v>918.29</v>
      </c>
      <c r="Q66" s="41">
        <v>0</v>
      </c>
      <c r="R66" s="41">
        <v>2371.02</v>
      </c>
      <c r="S66" s="41">
        <v>898.52</v>
      </c>
      <c r="T66" s="41">
        <v>0</v>
      </c>
      <c r="U66" s="41">
        <v>1872.8900000000003</v>
      </c>
      <c r="V66" s="41">
        <v>-2.2737367544323206E-13</v>
      </c>
      <c r="W66" s="41">
        <v>1181.03</v>
      </c>
    </row>
    <row r="67" spans="1:23" hidden="1" x14ac:dyDescent="0.25">
      <c r="A67" s="18">
        <v>2572</v>
      </c>
      <c r="B67" s="19">
        <v>3173</v>
      </c>
      <c r="C67" s="19" t="s">
        <v>130</v>
      </c>
      <c r="D67" s="19" t="s">
        <v>131</v>
      </c>
      <c r="E67" s="19" t="s">
        <v>57</v>
      </c>
      <c r="F67" s="19" t="s">
        <v>58</v>
      </c>
      <c r="G67" s="20" t="str">
        <f>IF(LEN(Table12_52_034[[#This Row],[Ledger Code]])&gt;3,"AR"&amp;Table12_52_034[[#This Row],[Ledger Code]],"TBC")</f>
        <v>AR3173</v>
      </c>
      <c r="H67" s="20"/>
      <c r="I67" s="20"/>
      <c r="J67" s="20"/>
      <c r="K67" s="20"/>
      <c r="L67" s="20"/>
      <c r="M67" s="20"/>
      <c r="N67" s="20"/>
      <c r="O67" s="20"/>
      <c r="P67" s="41">
        <v>0</v>
      </c>
      <c r="Q67" s="41">
        <v>0</v>
      </c>
      <c r="R67" s="41">
        <v>0</v>
      </c>
      <c r="S67" s="41">
        <v>0</v>
      </c>
      <c r="T67" s="41">
        <v>0</v>
      </c>
      <c r="U67" s="41">
        <v>0</v>
      </c>
      <c r="V67" s="41">
        <v>0</v>
      </c>
      <c r="W67" s="41">
        <v>0</v>
      </c>
    </row>
    <row r="68" spans="1:23" hidden="1" x14ac:dyDescent="0.25">
      <c r="A68" s="18">
        <v>2580</v>
      </c>
      <c r="B68" s="19">
        <v>3181</v>
      </c>
      <c r="C68" s="19" t="s">
        <v>132</v>
      </c>
      <c r="D68" s="19" t="s">
        <v>133</v>
      </c>
      <c r="E68" s="19" t="s">
        <v>57</v>
      </c>
      <c r="F68" s="19" t="s">
        <v>58</v>
      </c>
      <c r="G68" s="20" t="str">
        <f>IF(LEN(Table12_52_034[[#This Row],[Ledger Code]])&gt;3,"AR"&amp;Table12_52_034[[#This Row],[Ledger Code]],"TBC")</f>
        <v>AR3181</v>
      </c>
      <c r="H68" s="20"/>
      <c r="I68" s="20"/>
      <c r="J68" s="20"/>
      <c r="K68" s="20"/>
      <c r="L68" s="20"/>
      <c r="M68" s="20"/>
      <c r="N68" s="20"/>
      <c r="O68" s="20"/>
      <c r="P68" s="41">
        <v>1479.55</v>
      </c>
      <c r="Q68" s="41">
        <v>1934.03</v>
      </c>
      <c r="R68" s="41">
        <v>390.03</v>
      </c>
      <c r="S68" s="41">
        <v>1047.58</v>
      </c>
      <c r="T68" s="41">
        <v>876.19</v>
      </c>
      <c r="U68" s="41">
        <v>922.34000000000015</v>
      </c>
      <c r="V68" s="41">
        <v>389.5</v>
      </c>
      <c r="W68" s="41">
        <v>578.32000000000005</v>
      </c>
    </row>
    <row r="69" spans="1:23" hidden="1" x14ac:dyDescent="0.25">
      <c r="A69" s="18">
        <v>2584</v>
      </c>
      <c r="B69" s="19">
        <v>3185</v>
      </c>
      <c r="C69" s="19" t="s">
        <v>134</v>
      </c>
      <c r="D69" s="19" t="s">
        <v>135</v>
      </c>
      <c r="E69" s="19" t="s">
        <v>57</v>
      </c>
      <c r="F69" s="19" t="s">
        <v>58</v>
      </c>
      <c r="G69" s="20" t="str">
        <f>IF(LEN(Table12_52_034[[#This Row],[Ledger Code]])&gt;3,"AR"&amp;Table12_52_034[[#This Row],[Ledger Code]],"TBC")</f>
        <v>AR3185</v>
      </c>
      <c r="H69" s="20"/>
      <c r="I69" s="20"/>
      <c r="J69" s="20"/>
      <c r="K69" s="20"/>
      <c r="L69" s="20"/>
      <c r="M69" s="20"/>
      <c r="N69" s="20"/>
      <c r="O69" s="20"/>
      <c r="P69" s="41">
        <v>1479.55</v>
      </c>
      <c r="Q69" s="41">
        <v>1479.55</v>
      </c>
      <c r="R69" s="41">
        <v>0</v>
      </c>
      <c r="S69" s="41">
        <v>1541.04</v>
      </c>
      <c r="T69" s="41">
        <v>104.22</v>
      </c>
      <c r="U69" s="41">
        <v>3992.5699999999997</v>
      </c>
      <c r="V69" s="41">
        <v>523.48000000000025</v>
      </c>
      <c r="W69" s="41">
        <v>522.27</v>
      </c>
    </row>
    <row r="70" spans="1:23" hidden="1" x14ac:dyDescent="0.25">
      <c r="A70" s="18">
        <v>2587</v>
      </c>
      <c r="B70" s="19">
        <v>3188</v>
      </c>
      <c r="C70" s="19" t="s">
        <v>136</v>
      </c>
      <c r="D70" s="19" t="s">
        <v>137</v>
      </c>
      <c r="E70" s="19" t="s">
        <v>57</v>
      </c>
      <c r="F70" s="19" t="s">
        <v>58</v>
      </c>
      <c r="G70" s="20" t="str">
        <f>IF(LEN(Table12_52_034[[#This Row],[Ledger Code]])&gt;3,"AR"&amp;Table12_52_034[[#This Row],[Ledger Code]],"TBC")</f>
        <v>AR3188</v>
      </c>
      <c r="H70" s="20"/>
      <c r="I70" s="20"/>
      <c r="J70" s="20"/>
      <c r="K70" s="20"/>
      <c r="L70" s="20"/>
      <c r="M70" s="20"/>
      <c r="N70" s="20"/>
      <c r="O70" s="20"/>
      <c r="P70" s="41">
        <v>769.26</v>
      </c>
      <c r="Q70" s="41">
        <v>1987.61</v>
      </c>
      <c r="R70" s="41">
        <v>1473.05</v>
      </c>
      <c r="S70" s="41">
        <v>1817.1</v>
      </c>
      <c r="T70" s="41">
        <v>1723.9</v>
      </c>
      <c r="U70" s="41">
        <v>1927.31</v>
      </c>
      <c r="V70" s="41">
        <v>1868.84</v>
      </c>
      <c r="W70" s="41">
        <v>0</v>
      </c>
    </row>
    <row r="71" spans="1:23" hidden="1" x14ac:dyDescent="0.25">
      <c r="A71" s="18">
        <v>2594</v>
      </c>
      <c r="B71" s="19">
        <v>3197</v>
      </c>
      <c r="C71" s="19" t="s">
        <v>138</v>
      </c>
      <c r="D71" s="19" t="s">
        <v>139</v>
      </c>
      <c r="E71" s="19" t="s">
        <v>57</v>
      </c>
      <c r="F71" s="19" t="s">
        <v>58</v>
      </c>
      <c r="G71" s="20" t="str">
        <f>IF(LEN(Table12_52_034[[#This Row],[Ledger Code]])&gt;3,"AR"&amp;Table12_52_034[[#This Row],[Ledger Code]],"TBC")</f>
        <v>AR3197</v>
      </c>
      <c r="H71" s="20"/>
      <c r="I71" s="20"/>
      <c r="J71" s="20"/>
      <c r="K71" s="20"/>
      <c r="L71" s="20"/>
      <c r="M71" s="20"/>
      <c r="N71" s="20"/>
      <c r="O71" s="20"/>
      <c r="P71" s="41">
        <v>1619.74</v>
      </c>
      <c r="Q71" s="41">
        <v>140.19</v>
      </c>
      <c r="R71" s="41">
        <v>1942.99</v>
      </c>
      <c r="S71" s="41">
        <v>2062.29</v>
      </c>
      <c r="T71" s="41">
        <v>366.61</v>
      </c>
      <c r="U71" s="41">
        <v>2221.7600000000002</v>
      </c>
      <c r="V71" s="41">
        <v>1898.55</v>
      </c>
      <c r="W71" s="41">
        <v>0</v>
      </c>
    </row>
    <row r="72" spans="1:23" hidden="1" x14ac:dyDescent="0.25">
      <c r="A72" s="18">
        <v>2603</v>
      </c>
      <c r="B72" s="19">
        <v>3206</v>
      </c>
      <c r="C72" s="19" t="s">
        <v>140</v>
      </c>
      <c r="D72" s="19" t="s">
        <v>141</v>
      </c>
      <c r="E72" s="19" t="s">
        <v>57</v>
      </c>
      <c r="F72" s="19" t="s">
        <v>58</v>
      </c>
      <c r="G72" s="20" t="str">
        <f>IF(LEN(Table12_52_034[[#This Row],[Ledger Code]])&gt;3,"AR"&amp;Table12_52_034[[#This Row],[Ledger Code]],"TBC")</f>
        <v>AR3206</v>
      </c>
      <c r="H72" s="20"/>
      <c r="I72" s="20"/>
      <c r="J72" s="20"/>
      <c r="K72" s="20"/>
      <c r="L72" s="20"/>
      <c r="M72" s="20"/>
      <c r="N72" s="20"/>
      <c r="O72" s="20"/>
      <c r="P72" s="41">
        <v>3345.79</v>
      </c>
      <c r="Q72" s="41">
        <v>4315.2300000000005</v>
      </c>
      <c r="R72" s="41">
        <v>855.49</v>
      </c>
      <c r="S72" s="41">
        <v>7706.41</v>
      </c>
      <c r="T72" s="41">
        <v>858.81</v>
      </c>
      <c r="U72" s="41">
        <v>1937.0300000000002</v>
      </c>
      <c r="V72" s="41">
        <v>873.09999999999991</v>
      </c>
      <c r="W72" s="41">
        <v>1651.15</v>
      </c>
    </row>
    <row r="73" spans="1:23" hidden="1" x14ac:dyDescent="0.25">
      <c r="A73" s="18">
        <v>2610</v>
      </c>
      <c r="B73" s="19">
        <v>3214</v>
      </c>
      <c r="C73" s="19" t="s">
        <v>142</v>
      </c>
      <c r="D73" s="19" t="s">
        <v>143</v>
      </c>
      <c r="E73" s="19" t="s">
        <v>57</v>
      </c>
      <c r="F73" s="19" t="s">
        <v>58</v>
      </c>
      <c r="G73" s="20" t="str">
        <f>IF(LEN(Table12_52_034[[#This Row],[Ledger Code]])&gt;3,"AR"&amp;Table12_52_034[[#This Row],[Ledger Code]],"TBC")</f>
        <v>AR3214</v>
      </c>
      <c r="H73" s="20"/>
      <c r="I73" s="20"/>
      <c r="J73" s="20"/>
      <c r="K73" s="20"/>
      <c r="L73" s="20"/>
      <c r="M73" s="20"/>
      <c r="N73" s="20"/>
      <c r="O73" s="20"/>
      <c r="P73" s="41">
        <v>0</v>
      </c>
      <c r="Q73" s="41">
        <v>312.58</v>
      </c>
      <c r="R73" s="41">
        <v>0</v>
      </c>
      <c r="S73" s="41">
        <v>12.99</v>
      </c>
      <c r="T73" s="41">
        <v>0</v>
      </c>
      <c r="U73" s="41">
        <v>325.57</v>
      </c>
      <c r="V73" s="41">
        <v>0</v>
      </c>
      <c r="W73" s="41">
        <v>0</v>
      </c>
    </row>
    <row r="74" spans="1:23" hidden="1" x14ac:dyDescent="0.25">
      <c r="A74" s="18">
        <v>2611</v>
      </c>
      <c r="B74" s="19">
        <v>3216</v>
      </c>
      <c r="C74" s="19" t="s">
        <v>144</v>
      </c>
      <c r="D74" s="19" t="s">
        <v>145</v>
      </c>
      <c r="E74" s="19" t="s">
        <v>57</v>
      </c>
      <c r="F74" s="19" t="s">
        <v>58</v>
      </c>
      <c r="G74" s="20" t="str">
        <f>IF(LEN(Table12_52_034[[#This Row],[Ledger Code]])&gt;3,"AR"&amp;Table12_52_034[[#This Row],[Ledger Code]],"TBC")</f>
        <v>AR3216</v>
      </c>
      <c r="H74" s="20"/>
      <c r="I74" s="20"/>
      <c r="J74" s="20"/>
      <c r="K74" s="20"/>
      <c r="L74" s="20"/>
      <c r="M74" s="20"/>
      <c r="N74" s="20"/>
      <c r="O74" s="20"/>
      <c r="P74" s="41">
        <v>707.29</v>
      </c>
      <c r="Q74" s="41">
        <v>0</v>
      </c>
      <c r="R74" s="41">
        <v>707.29</v>
      </c>
      <c r="S74" s="41">
        <v>1375.72</v>
      </c>
      <c r="T74" s="41">
        <v>195.43</v>
      </c>
      <c r="U74" s="41">
        <v>-82.110000000000284</v>
      </c>
      <c r="V74" s="41">
        <v>381.68</v>
      </c>
      <c r="W74" s="41">
        <v>0</v>
      </c>
    </row>
    <row r="75" spans="1:23" hidden="1" x14ac:dyDescent="0.25">
      <c r="A75" s="18">
        <v>2612</v>
      </c>
      <c r="B75" s="19">
        <v>3208</v>
      </c>
      <c r="C75" s="19" t="s">
        <v>146</v>
      </c>
      <c r="D75" s="19" t="s">
        <v>147</v>
      </c>
      <c r="E75" s="19" t="s">
        <v>57</v>
      </c>
      <c r="F75" s="19" t="s">
        <v>58</v>
      </c>
      <c r="G75" s="20" t="str">
        <f>IF(LEN(Table12_52_034[[#This Row],[Ledger Code]])&gt;3,"AR"&amp;Table12_52_034[[#This Row],[Ledger Code]],"TBC")</f>
        <v>AR3208</v>
      </c>
      <c r="H75" s="20"/>
      <c r="I75" s="20"/>
      <c r="J75" s="20"/>
      <c r="K75" s="20"/>
      <c r="L75" s="20"/>
      <c r="M75" s="20"/>
      <c r="N75" s="20"/>
      <c r="O75" s="20"/>
      <c r="P75" s="41">
        <v>3289.38</v>
      </c>
      <c r="Q75" s="41">
        <v>3289.38</v>
      </c>
      <c r="R75" s="41">
        <v>4899.09</v>
      </c>
      <c r="S75" s="41">
        <v>-3232.17</v>
      </c>
      <c r="T75" s="41">
        <v>1990.4</v>
      </c>
      <c r="U75" s="41">
        <v>0</v>
      </c>
      <c r="V75" s="41">
        <v>2057.6799999999998</v>
      </c>
      <c r="W75" s="41">
        <v>0</v>
      </c>
    </row>
    <row r="76" spans="1:23" hidden="1" x14ac:dyDescent="0.25">
      <c r="A76" s="18">
        <v>2640</v>
      </c>
      <c r="B76" s="19">
        <v>3394</v>
      </c>
      <c r="C76" s="19" t="s">
        <v>148</v>
      </c>
      <c r="D76" s="19" t="s">
        <v>149</v>
      </c>
      <c r="E76" s="19" t="s">
        <v>57</v>
      </c>
      <c r="F76" s="19" t="s">
        <v>58</v>
      </c>
      <c r="G76" s="20" t="str">
        <f>IF(LEN(Table12_52_034[[#This Row],[Ledger Code]])&gt;3,"AR"&amp;Table12_52_034[[#This Row],[Ledger Code]],"TBC")</f>
        <v>AR3394</v>
      </c>
      <c r="H76" s="20"/>
      <c r="I76" s="20"/>
      <c r="J76" s="20"/>
      <c r="K76" s="20"/>
      <c r="L76" s="20"/>
      <c r="M76" s="20"/>
      <c r="N76" s="20"/>
      <c r="O76" s="20"/>
      <c r="P76" s="41">
        <v>0</v>
      </c>
      <c r="Q76" s="41">
        <v>0</v>
      </c>
      <c r="R76" s="41">
        <v>1681.02</v>
      </c>
      <c r="S76" s="41">
        <v>2959.1</v>
      </c>
      <c r="T76" s="41">
        <v>1463.7800000000002</v>
      </c>
      <c r="U76" s="41">
        <v>919.77</v>
      </c>
      <c r="V76" s="41">
        <v>0</v>
      </c>
      <c r="W76" s="41">
        <v>840.97</v>
      </c>
    </row>
    <row r="77" spans="1:23" hidden="1" x14ac:dyDescent="0.25">
      <c r="A77" s="18">
        <v>2643</v>
      </c>
      <c r="B77" s="19">
        <v>3398</v>
      </c>
      <c r="C77" s="19" t="s">
        <v>150</v>
      </c>
      <c r="D77" s="19" t="s">
        <v>151</v>
      </c>
      <c r="E77" s="19" t="s">
        <v>57</v>
      </c>
      <c r="F77" s="19" t="s">
        <v>58</v>
      </c>
      <c r="G77" s="20" t="str">
        <f>IF(LEN(Table12_52_034[[#This Row],[Ledger Code]])&gt;3,"AR"&amp;Table12_52_034[[#This Row],[Ledger Code]],"TBC")</f>
        <v>AR3398</v>
      </c>
      <c r="H77" s="20"/>
      <c r="I77" s="20"/>
      <c r="J77" s="20"/>
      <c r="K77" s="20"/>
      <c r="L77" s="20"/>
      <c r="M77" s="20"/>
      <c r="N77" s="20"/>
      <c r="O77" s="20"/>
      <c r="P77" s="41">
        <v>312.58</v>
      </c>
      <c r="Q77" s="41">
        <v>0</v>
      </c>
      <c r="R77" s="41">
        <v>1719.65</v>
      </c>
      <c r="S77" s="41">
        <v>438.59999999999957</v>
      </c>
      <c r="T77" s="41">
        <v>193.35</v>
      </c>
      <c r="U77" s="41">
        <v>73.230000000000018</v>
      </c>
      <c r="V77" s="41">
        <v>380.0600000000004</v>
      </c>
      <c r="W77" s="41">
        <v>0</v>
      </c>
    </row>
    <row r="78" spans="1:23" hidden="1" x14ac:dyDescent="0.25">
      <c r="A78" s="18">
        <v>2647</v>
      </c>
      <c r="B78" s="19">
        <v>3404</v>
      </c>
      <c r="C78" s="19" t="s">
        <v>152</v>
      </c>
      <c r="D78" s="19" t="s">
        <v>153</v>
      </c>
      <c r="E78" s="19" t="s">
        <v>57</v>
      </c>
      <c r="F78" s="19" t="s">
        <v>58</v>
      </c>
      <c r="G78" s="20" t="str">
        <f>IF(LEN(Table12_52_034[[#This Row],[Ledger Code]])&gt;3,"AR"&amp;Table12_52_034[[#This Row],[Ledger Code]],"TBC")</f>
        <v>AR3404</v>
      </c>
      <c r="H78" s="20"/>
      <c r="I78" s="20"/>
      <c r="J78" s="20"/>
      <c r="K78" s="20"/>
      <c r="L78" s="20"/>
      <c r="M78" s="20"/>
      <c r="N78" s="20"/>
      <c r="O78" s="20"/>
      <c r="P78" s="41">
        <v>0</v>
      </c>
      <c r="Q78" s="41">
        <v>0</v>
      </c>
      <c r="R78" s="41">
        <v>0</v>
      </c>
      <c r="S78" s="41">
        <v>0</v>
      </c>
      <c r="T78" s="41">
        <v>0</v>
      </c>
      <c r="U78" s="41">
        <v>0</v>
      </c>
      <c r="V78" s="41">
        <v>0</v>
      </c>
      <c r="W78" s="41">
        <v>0</v>
      </c>
    </row>
    <row r="79" spans="1:23" hidden="1" x14ac:dyDescent="0.25">
      <c r="A79" s="18">
        <v>2648</v>
      </c>
      <c r="B79" s="19">
        <v>3409</v>
      </c>
      <c r="C79" s="19" t="s">
        <v>332</v>
      </c>
      <c r="D79" s="19" t="s">
        <v>333</v>
      </c>
      <c r="E79" s="19" t="s">
        <v>57</v>
      </c>
      <c r="F79" s="19" t="s">
        <v>58</v>
      </c>
      <c r="G79" s="20" t="str">
        <f>IF(LEN(Table12_52_034[[#This Row],[Ledger Code]])&gt;3,"AR"&amp;Table12_52_034[[#This Row],[Ledger Code]],"TBC")</f>
        <v>AR3409</v>
      </c>
      <c r="H79" s="20"/>
      <c r="I79" s="20"/>
      <c r="J79" s="20"/>
      <c r="K79" s="20"/>
      <c r="L79" s="20"/>
      <c r="M79" s="20"/>
      <c r="N79" s="20"/>
      <c r="O79" s="20"/>
      <c r="P79" s="41">
        <v>0</v>
      </c>
      <c r="Q79" s="41">
        <v>0</v>
      </c>
      <c r="R79" s="41">
        <v>0</v>
      </c>
      <c r="S79" s="41">
        <v>0</v>
      </c>
      <c r="T79" s="41">
        <v>0</v>
      </c>
      <c r="U79" s="41">
        <v>0</v>
      </c>
      <c r="V79" s="41">
        <v>0</v>
      </c>
      <c r="W79" s="41">
        <v>0</v>
      </c>
    </row>
    <row r="80" spans="1:23" hidden="1" x14ac:dyDescent="0.25">
      <c r="A80" s="18">
        <v>2656</v>
      </c>
      <c r="B80" s="19">
        <v>3415</v>
      </c>
      <c r="C80" s="19" t="s">
        <v>154</v>
      </c>
      <c r="D80" s="19" t="s">
        <v>115</v>
      </c>
      <c r="E80" s="19" t="s">
        <v>57</v>
      </c>
      <c r="F80" s="19" t="s">
        <v>58</v>
      </c>
      <c r="G80" s="20" t="str">
        <f>IF(LEN(Table12_52_034[[#This Row],[Ledger Code]])&gt;3,"AR"&amp;Table12_52_034[[#This Row],[Ledger Code]],"TBC")</f>
        <v>AR3415</v>
      </c>
      <c r="H80" s="20"/>
      <c r="I80" s="20"/>
      <c r="J80" s="20"/>
      <c r="K80" s="20"/>
      <c r="L80" s="20"/>
      <c r="M80" s="20"/>
      <c r="N80" s="20"/>
      <c r="O80" s="20"/>
      <c r="P80" s="41">
        <v>0</v>
      </c>
      <c r="Q80" s="41">
        <v>0</v>
      </c>
      <c r="R80" s="41">
        <v>0</v>
      </c>
      <c r="S80" s="41">
        <v>0</v>
      </c>
      <c r="T80" s="41">
        <v>0</v>
      </c>
      <c r="U80" s="41">
        <v>0</v>
      </c>
      <c r="V80" s="41">
        <v>0</v>
      </c>
      <c r="W80" s="41">
        <v>4561.62</v>
      </c>
    </row>
    <row r="81" spans="1:23" hidden="1" x14ac:dyDescent="0.25">
      <c r="A81" s="18">
        <v>2658</v>
      </c>
      <c r="B81" s="19">
        <v>3418</v>
      </c>
      <c r="C81" s="19" t="s">
        <v>155</v>
      </c>
      <c r="D81" s="19" t="s">
        <v>115</v>
      </c>
      <c r="E81" s="19" t="s">
        <v>57</v>
      </c>
      <c r="F81" s="19" t="s">
        <v>58</v>
      </c>
      <c r="G81" s="20" t="str">
        <f>IF(LEN(Table12_52_034[[#This Row],[Ledger Code]])&gt;3,"AR"&amp;Table12_52_034[[#This Row],[Ledger Code]],"TBC")</f>
        <v>AR3418</v>
      </c>
      <c r="H81" s="20"/>
      <c r="I81" s="20"/>
      <c r="J81" s="20"/>
      <c r="K81" s="20"/>
      <c r="L81" s="20"/>
      <c r="M81" s="20"/>
      <c r="N81" s="20"/>
      <c r="O81" s="20"/>
      <c r="P81" s="41">
        <v>0</v>
      </c>
      <c r="Q81" s="41">
        <v>0</v>
      </c>
      <c r="R81" s="41">
        <v>0</v>
      </c>
      <c r="S81" s="41">
        <v>0</v>
      </c>
      <c r="T81" s="41">
        <v>0</v>
      </c>
      <c r="U81" s="41">
        <v>0</v>
      </c>
      <c r="V81" s="41">
        <v>0</v>
      </c>
      <c r="W81" s="41">
        <v>0</v>
      </c>
    </row>
    <row r="82" spans="1:23" hidden="1" x14ac:dyDescent="0.25">
      <c r="A82" s="18">
        <v>2659</v>
      </c>
      <c r="B82" s="19">
        <v>3419</v>
      </c>
      <c r="C82" s="19" t="s">
        <v>156</v>
      </c>
      <c r="D82" s="19" t="s">
        <v>115</v>
      </c>
      <c r="E82" s="19" t="s">
        <v>57</v>
      </c>
      <c r="F82" s="19" t="s">
        <v>58</v>
      </c>
      <c r="G82" s="20" t="str">
        <f>IF(LEN(Table12_52_034[[#This Row],[Ledger Code]])&gt;3,"AR"&amp;Table12_52_034[[#This Row],[Ledger Code]],"TBC")</f>
        <v>AR3419</v>
      </c>
      <c r="H82" s="20"/>
      <c r="I82" s="20"/>
      <c r="J82" s="20"/>
      <c r="K82" s="20"/>
      <c r="L82" s="20"/>
      <c r="M82" s="20"/>
      <c r="N82" s="20"/>
      <c r="O82" s="20"/>
      <c r="P82" s="41">
        <v>0</v>
      </c>
      <c r="Q82" s="41">
        <v>0</v>
      </c>
      <c r="R82" s="41">
        <v>0</v>
      </c>
      <c r="S82" s="41">
        <v>0</v>
      </c>
      <c r="T82" s="41">
        <v>0</v>
      </c>
      <c r="U82" s="41">
        <v>0</v>
      </c>
      <c r="V82" s="41">
        <v>0</v>
      </c>
      <c r="W82" s="41">
        <v>0</v>
      </c>
    </row>
    <row r="83" spans="1:23" hidden="1" x14ac:dyDescent="0.25">
      <c r="A83" s="18">
        <v>2660</v>
      </c>
      <c r="B83" s="19">
        <v>3420</v>
      </c>
      <c r="C83" s="19" t="s">
        <v>157</v>
      </c>
      <c r="D83" s="19" t="s">
        <v>115</v>
      </c>
      <c r="E83" s="19" t="s">
        <v>57</v>
      </c>
      <c r="F83" s="19" t="s">
        <v>58</v>
      </c>
      <c r="G83" s="20" t="str">
        <f>IF(LEN(Table12_52_034[[#This Row],[Ledger Code]])&gt;3,"AR"&amp;Table12_52_034[[#This Row],[Ledger Code]],"TBC")</f>
        <v>AR3420</v>
      </c>
      <c r="H83" s="20"/>
      <c r="I83" s="20"/>
      <c r="J83" s="20"/>
      <c r="K83" s="20"/>
      <c r="L83" s="20"/>
      <c r="M83" s="20"/>
      <c r="N83" s="20"/>
      <c r="O83" s="20"/>
      <c r="P83" s="41">
        <v>0</v>
      </c>
      <c r="Q83" s="41">
        <v>0</v>
      </c>
      <c r="R83" s="41">
        <v>0</v>
      </c>
      <c r="S83" s="41">
        <v>0</v>
      </c>
      <c r="T83" s="41">
        <v>0</v>
      </c>
      <c r="U83" s="41">
        <v>0</v>
      </c>
      <c r="V83" s="41">
        <v>0</v>
      </c>
      <c r="W83" s="41">
        <v>0</v>
      </c>
    </row>
    <row r="84" spans="1:23" hidden="1" x14ac:dyDescent="0.25">
      <c r="A84" s="18">
        <v>2711</v>
      </c>
      <c r="B84" s="19">
        <v>3509</v>
      </c>
      <c r="C84" s="19" t="s">
        <v>158</v>
      </c>
      <c r="D84" s="19" t="s">
        <v>159</v>
      </c>
      <c r="E84" s="19" t="s">
        <v>57</v>
      </c>
      <c r="F84" s="19" t="s">
        <v>58</v>
      </c>
      <c r="G84" s="20" t="str">
        <f>IF(LEN(Table12_52_034[[#This Row],[Ledger Code]])&gt;3,"AR"&amp;Table12_52_034[[#This Row],[Ledger Code]],"TBC")</f>
        <v>AR3509</v>
      </c>
      <c r="H84" s="20"/>
      <c r="I84" s="20"/>
      <c r="J84" s="20"/>
      <c r="K84" s="20"/>
      <c r="L84" s="20"/>
      <c r="M84" s="20"/>
      <c r="N84" s="20"/>
      <c r="O84" s="20"/>
      <c r="P84" s="41">
        <v>0</v>
      </c>
      <c r="Q84" s="41">
        <v>0</v>
      </c>
      <c r="R84" s="41">
        <v>0</v>
      </c>
      <c r="S84" s="41">
        <v>0</v>
      </c>
      <c r="T84" s="41">
        <v>0</v>
      </c>
      <c r="U84" s="41">
        <v>0</v>
      </c>
      <c r="V84" s="41">
        <v>0</v>
      </c>
      <c r="W84" s="41">
        <v>0</v>
      </c>
    </row>
    <row r="85" spans="1:23" hidden="1" x14ac:dyDescent="0.25">
      <c r="A85" s="18">
        <v>2713</v>
      </c>
      <c r="B85" s="19">
        <v>3511</v>
      </c>
      <c r="C85" s="19" t="s">
        <v>160</v>
      </c>
      <c r="D85" s="19" t="s">
        <v>159</v>
      </c>
      <c r="E85" s="19" t="s">
        <v>57</v>
      </c>
      <c r="F85" s="19" t="s">
        <v>58</v>
      </c>
      <c r="G85" s="20" t="str">
        <f>IF(LEN(Table12_52_034[[#This Row],[Ledger Code]])&gt;3,"AR"&amp;Table12_52_034[[#This Row],[Ledger Code]],"TBC")</f>
        <v>AR3511</v>
      </c>
      <c r="H85" s="20"/>
      <c r="I85" s="20"/>
      <c r="J85" s="20"/>
      <c r="K85" s="20"/>
      <c r="L85" s="20"/>
      <c r="M85" s="20"/>
      <c r="N85" s="20"/>
      <c r="O85" s="20"/>
      <c r="P85" s="41">
        <v>378.39</v>
      </c>
      <c r="Q85" s="41">
        <v>1.1368683772161603E-13</v>
      </c>
      <c r="R85" s="41">
        <v>1449.1200000000001</v>
      </c>
      <c r="S85" s="41">
        <v>842.2</v>
      </c>
      <c r="T85" s="41">
        <v>764.53</v>
      </c>
      <c r="U85" s="41">
        <v>686.2800000000002</v>
      </c>
      <c r="V85" s="41">
        <v>755.98</v>
      </c>
      <c r="W85" s="41">
        <v>0</v>
      </c>
    </row>
    <row r="86" spans="1:23" hidden="1" x14ac:dyDescent="0.25">
      <c r="A86" s="18">
        <v>2727</v>
      </c>
      <c r="B86" s="19">
        <v>3545</v>
      </c>
      <c r="C86" s="19" t="s">
        <v>161</v>
      </c>
      <c r="D86" s="19" t="s">
        <v>162</v>
      </c>
      <c r="E86" s="19" t="s">
        <v>57</v>
      </c>
      <c r="F86" s="19" t="s">
        <v>58</v>
      </c>
      <c r="G86" s="20" t="str">
        <f>IF(LEN(Table12_52_034[[#This Row],[Ledger Code]])&gt;3,"AR"&amp;Table12_52_034[[#This Row],[Ledger Code]],"TBC")</f>
        <v>AR3545</v>
      </c>
      <c r="H86" s="20"/>
      <c r="I86" s="20"/>
      <c r="J86" s="20"/>
      <c r="K86" s="20"/>
      <c r="L86" s="20"/>
      <c r="M86" s="20"/>
      <c r="N86" s="20"/>
      <c r="O86" s="20"/>
      <c r="P86" s="41">
        <v>0</v>
      </c>
      <c r="Q86" s="41">
        <v>0</v>
      </c>
      <c r="R86" s="41">
        <v>0</v>
      </c>
      <c r="S86" s="41">
        <v>146.07999999999993</v>
      </c>
      <c r="T86" s="41">
        <v>0</v>
      </c>
      <c r="U86" s="41">
        <v>0</v>
      </c>
      <c r="V86" s="41">
        <v>0</v>
      </c>
      <c r="W86" s="41">
        <v>0</v>
      </c>
    </row>
    <row r="87" spans="1:23" hidden="1" x14ac:dyDescent="0.25">
      <c r="A87" s="18">
        <v>2733</v>
      </c>
      <c r="B87" s="19">
        <v>3550</v>
      </c>
      <c r="C87" s="19" t="s">
        <v>163</v>
      </c>
      <c r="D87" s="19" t="s">
        <v>164</v>
      </c>
      <c r="E87" s="19" t="s">
        <v>57</v>
      </c>
      <c r="F87" s="19" t="s">
        <v>58</v>
      </c>
      <c r="G87" s="20" t="str">
        <f>IF(LEN(Table12_52_034[[#This Row],[Ledger Code]])&gt;3,"AR"&amp;Table12_52_034[[#This Row],[Ledger Code]],"TBC")</f>
        <v>AR3550</v>
      </c>
      <c r="H87" s="20"/>
      <c r="I87" s="20"/>
      <c r="J87" s="20"/>
      <c r="K87" s="20"/>
      <c r="L87" s="20"/>
      <c r="M87" s="20"/>
      <c r="N87" s="20"/>
      <c r="O87" s="20"/>
      <c r="P87" s="41">
        <v>0</v>
      </c>
      <c r="Q87" s="41">
        <v>393.20000000000027</v>
      </c>
      <c r="R87" s="41">
        <v>0</v>
      </c>
      <c r="S87" s="41">
        <v>317.02999999999969</v>
      </c>
      <c r="T87" s="41">
        <v>0</v>
      </c>
      <c r="U87" s="41">
        <v>262.39999999999998</v>
      </c>
      <c r="V87" s="41">
        <v>0</v>
      </c>
      <c r="W87" s="41">
        <v>0</v>
      </c>
    </row>
    <row r="88" spans="1:23" hidden="1" x14ac:dyDescent="0.25">
      <c r="A88" s="18">
        <v>2933</v>
      </c>
      <c r="B88" s="19">
        <v>6182</v>
      </c>
      <c r="C88" s="19" t="s">
        <v>165</v>
      </c>
      <c r="D88" s="19" t="s">
        <v>166</v>
      </c>
      <c r="E88" s="19" t="s">
        <v>9</v>
      </c>
      <c r="F88" s="19" t="s">
        <v>83</v>
      </c>
      <c r="G88" s="20" t="str">
        <f>IF(LEN(Table12_52_034[[#This Row],[Ledger Code]])&gt;3,"AR"&amp;Table12_52_034[[#This Row],[Ledger Code]],"TBC")</f>
        <v>AR6182</v>
      </c>
      <c r="H88" s="20"/>
      <c r="I88" s="20"/>
      <c r="J88" s="20"/>
      <c r="K88" s="20"/>
      <c r="L88" s="20"/>
      <c r="M88" s="20"/>
      <c r="N88" s="20"/>
      <c r="O88" s="20"/>
      <c r="P88" s="41">
        <v>502.8</v>
      </c>
      <c r="Q88" s="41">
        <v>514.76000000000022</v>
      </c>
      <c r="R88" s="41">
        <v>-4.5474735088646412E-13</v>
      </c>
      <c r="S88" s="41">
        <v>2473.5299999999997</v>
      </c>
      <c r="T88" s="41">
        <v>0</v>
      </c>
      <c r="U88" s="41">
        <v>669.41</v>
      </c>
      <c r="V88" s="41">
        <v>0</v>
      </c>
      <c r="W88" s="41">
        <v>4435.74</v>
      </c>
    </row>
    <row r="89" spans="1:23" hidden="1" x14ac:dyDescent="0.25">
      <c r="A89" s="18">
        <v>2993</v>
      </c>
      <c r="B89" s="19">
        <v>6379</v>
      </c>
      <c r="C89" s="19" t="s">
        <v>167</v>
      </c>
      <c r="D89" s="19" t="s">
        <v>168</v>
      </c>
      <c r="E89" s="19" t="s">
        <v>9</v>
      </c>
      <c r="F89" s="19" t="s">
        <v>83</v>
      </c>
      <c r="G89" s="20" t="str">
        <f>IF(LEN(Table12_52_034[[#This Row],[Ledger Code]])&gt;3,"AR"&amp;Table12_52_034[[#This Row],[Ledger Code]],"TBC")</f>
        <v>AR6379</v>
      </c>
      <c r="H89" s="20"/>
      <c r="I89" s="20"/>
      <c r="J89" s="20"/>
      <c r="K89" s="20"/>
      <c r="L89" s="20"/>
      <c r="M89" s="20"/>
      <c r="N89" s="20"/>
      <c r="O89" s="20"/>
      <c r="P89" s="41">
        <v>0</v>
      </c>
      <c r="Q89" s="41">
        <v>1122.96</v>
      </c>
      <c r="R89" s="41">
        <v>887.86000000000013</v>
      </c>
      <c r="S89" s="41">
        <v>626.03</v>
      </c>
      <c r="T89" s="41">
        <v>775.38</v>
      </c>
      <c r="U89" s="41">
        <v>786.13</v>
      </c>
      <c r="V89" s="41">
        <v>848.22</v>
      </c>
      <c r="W89" s="41">
        <v>956.44</v>
      </c>
    </row>
    <row r="90" spans="1:23" hidden="1" x14ac:dyDescent="0.25">
      <c r="A90" s="18">
        <v>2994</v>
      </c>
      <c r="B90" s="19">
        <v>6380</v>
      </c>
      <c r="C90" s="19" t="s">
        <v>169</v>
      </c>
      <c r="D90" s="19" t="s">
        <v>170</v>
      </c>
      <c r="E90" s="19" t="s">
        <v>9</v>
      </c>
      <c r="F90" s="19" t="s">
        <v>83</v>
      </c>
      <c r="G90" s="20" t="str">
        <f>IF(LEN(Table12_52_034[[#This Row],[Ledger Code]])&gt;3,"AR"&amp;Table12_52_034[[#This Row],[Ledger Code]],"TBC")</f>
        <v>AR6380</v>
      </c>
      <c r="H90" s="20"/>
      <c r="I90" s="20"/>
      <c r="J90" s="20"/>
      <c r="K90" s="20"/>
      <c r="L90" s="20"/>
      <c r="M90" s="20"/>
      <c r="N90" s="20"/>
      <c r="O90" s="20"/>
      <c r="P90" s="41">
        <v>0</v>
      </c>
      <c r="Q90" s="41">
        <v>0</v>
      </c>
      <c r="R90" s="41">
        <v>0</v>
      </c>
      <c r="S90" s="41">
        <v>182.83</v>
      </c>
      <c r="T90" s="41">
        <v>414.75</v>
      </c>
      <c r="U90" s="41">
        <v>0</v>
      </c>
      <c r="V90" s="41">
        <v>0</v>
      </c>
      <c r="W90" s="41">
        <v>0</v>
      </c>
    </row>
    <row r="91" spans="1:23" hidden="1" x14ac:dyDescent="0.25">
      <c r="A91" s="18">
        <v>3017</v>
      </c>
      <c r="B91" s="19">
        <v>6230</v>
      </c>
      <c r="C91" s="19" t="s">
        <v>171</v>
      </c>
      <c r="D91" s="19" t="s">
        <v>172</v>
      </c>
      <c r="E91" s="19" t="s">
        <v>9</v>
      </c>
      <c r="F91" s="19" t="s">
        <v>83</v>
      </c>
      <c r="G91" s="20" t="str">
        <f>IF(LEN(Table12_52_034[[#This Row],[Ledger Code]])&gt;3,"AR"&amp;Table12_52_034[[#This Row],[Ledger Code]],"TBC")</f>
        <v>AR6230</v>
      </c>
      <c r="H91" s="20"/>
      <c r="I91" s="20"/>
      <c r="J91" s="20"/>
      <c r="K91" s="20"/>
      <c r="L91" s="20"/>
      <c r="M91" s="20"/>
      <c r="N91" s="20"/>
      <c r="O91" s="20"/>
      <c r="P91" s="41">
        <v>36</v>
      </c>
      <c r="Q91" s="41">
        <v>5434.15</v>
      </c>
      <c r="R91" s="41">
        <v>634.12999999999988</v>
      </c>
      <c r="S91" s="41">
        <v>4643.3100000000004</v>
      </c>
      <c r="T91" s="41">
        <v>2750.77</v>
      </c>
      <c r="U91" s="41">
        <v>-408.45999999999992</v>
      </c>
      <c r="V91" s="41">
        <v>1850.63</v>
      </c>
      <c r="W91" s="41">
        <v>6498.15</v>
      </c>
    </row>
    <row r="92" spans="1:23" hidden="1" x14ac:dyDescent="0.25">
      <c r="A92" s="18">
        <v>3085</v>
      </c>
      <c r="B92" s="19">
        <v>8445</v>
      </c>
      <c r="C92" s="19" t="s">
        <v>173</v>
      </c>
      <c r="D92" s="19" t="s">
        <v>174</v>
      </c>
      <c r="E92" s="19" t="s">
        <v>26</v>
      </c>
      <c r="F92" s="19" t="s">
        <v>175</v>
      </c>
      <c r="G92" s="20" t="str">
        <f>IF(LEN(Table12_52_034[[#This Row],[Ledger Code]])&gt;3,"AR"&amp;Table12_52_034[[#This Row],[Ledger Code]],"TBC")</f>
        <v>AR8445</v>
      </c>
      <c r="H92" s="20"/>
      <c r="I92" s="20"/>
      <c r="J92" s="20"/>
      <c r="K92" s="20"/>
      <c r="L92" s="20"/>
      <c r="M92" s="20"/>
      <c r="N92" s="20"/>
      <c r="O92" s="20"/>
      <c r="P92" s="41">
        <v>0</v>
      </c>
      <c r="Q92" s="41">
        <v>170.51999999999998</v>
      </c>
      <c r="R92" s="41">
        <v>0</v>
      </c>
      <c r="S92" s="41">
        <v>1244.79</v>
      </c>
      <c r="T92" s="41">
        <v>0</v>
      </c>
      <c r="U92" s="41">
        <v>1201.6899999999998</v>
      </c>
      <c r="V92" s="41">
        <v>1.1368683772161603E-13</v>
      </c>
      <c r="W92" s="41">
        <v>975.03</v>
      </c>
    </row>
    <row r="93" spans="1:23" hidden="1" x14ac:dyDescent="0.25">
      <c r="A93" s="18">
        <v>3098</v>
      </c>
      <c r="B93" s="19">
        <v>8463</v>
      </c>
      <c r="C93" s="19" t="s">
        <v>176</v>
      </c>
      <c r="D93" s="19" t="s">
        <v>177</v>
      </c>
      <c r="E93" s="19" t="s">
        <v>26</v>
      </c>
      <c r="F93" s="19" t="s">
        <v>175</v>
      </c>
      <c r="G93" s="20" t="str">
        <f>IF(LEN(Table12_52_034[[#This Row],[Ledger Code]])&gt;3,"AR"&amp;Table12_52_034[[#This Row],[Ledger Code]],"TBC")</f>
        <v>AR8463</v>
      </c>
      <c r="H93" s="20"/>
      <c r="I93" s="20"/>
      <c r="J93" s="20"/>
      <c r="K93" s="20"/>
      <c r="L93" s="20"/>
      <c r="M93" s="20"/>
      <c r="N93" s="20"/>
      <c r="O93" s="20"/>
      <c r="P93" s="41">
        <v>0</v>
      </c>
      <c r="Q93" s="41">
        <v>0</v>
      </c>
      <c r="R93" s="41">
        <v>0</v>
      </c>
      <c r="S93" s="41">
        <v>0</v>
      </c>
      <c r="T93" s="41">
        <v>0</v>
      </c>
      <c r="U93" s="41">
        <v>0</v>
      </c>
      <c r="V93" s="41">
        <v>0</v>
      </c>
      <c r="W93" s="41">
        <v>0</v>
      </c>
    </row>
    <row r="94" spans="1:23" hidden="1" x14ac:dyDescent="0.25">
      <c r="A94" s="18">
        <v>3152</v>
      </c>
      <c r="B94" s="19">
        <v>8492</v>
      </c>
      <c r="C94" s="19" t="s">
        <v>178</v>
      </c>
      <c r="D94" s="19" t="s">
        <v>179</v>
      </c>
      <c r="E94" s="19" t="s">
        <v>26</v>
      </c>
      <c r="F94" s="19" t="s">
        <v>175</v>
      </c>
      <c r="G94" s="20" t="str">
        <f>IF(LEN(Table12_52_034[[#This Row],[Ledger Code]])&gt;3,"AR"&amp;Table12_52_034[[#This Row],[Ledger Code]],"TBC")</f>
        <v>AR8492</v>
      </c>
      <c r="H94" s="20"/>
      <c r="I94" s="20"/>
      <c r="J94" s="20"/>
      <c r="K94" s="20"/>
      <c r="L94" s="20"/>
      <c r="M94" s="20"/>
      <c r="N94" s="20"/>
      <c r="O94" s="20"/>
      <c r="P94" s="41">
        <v>10.8</v>
      </c>
      <c r="Q94" s="41">
        <v>1143.5500000000002</v>
      </c>
      <c r="R94" s="41">
        <v>2.2737367544323206E-13</v>
      </c>
      <c r="S94" s="41">
        <v>581.82999999999993</v>
      </c>
      <c r="T94" s="41">
        <v>0</v>
      </c>
      <c r="U94" s="41">
        <v>870.93</v>
      </c>
      <c r="V94" s="41">
        <v>0</v>
      </c>
      <c r="W94" s="41">
        <v>1.1368683772161603E-13</v>
      </c>
    </row>
    <row r="95" spans="1:23" hidden="1" x14ac:dyDescent="0.25">
      <c r="A95" s="18">
        <v>3169</v>
      </c>
      <c r="B95" s="19">
        <v>8514</v>
      </c>
      <c r="C95" s="19" t="s">
        <v>341</v>
      </c>
      <c r="D95" s="19">
        <v>0</v>
      </c>
      <c r="E95" s="19" t="s">
        <v>26</v>
      </c>
      <c r="F95" s="19" t="s">
        <v>175</v>
      </c>
      <c r="G95" s="20" t="str">
        <f>IF(LEN(Table12_52_034[[#This Row],[Ledger Code]])&gt;3,"AR"&amp;Table12_52_034[[#This Row],[Ledger Code]],"TBC")</f>
        <v>AR8514</v>
      </c>
      <c r="H95" s="20"/>
      <c r="I95" s="20"/>
      <c r="J95" s="20"/>
      <c r="K95" s="20"/>
      <c r="L95" s="20"/>
      <c r="M95" s="20"/>
      <c r="N95" s="20"/>
      <c r="O95" s="20"/>
      <c r="P95" s="41">
        <v>0</v>
      </c>
      <c r="Q95" s="41">
        <v>0</v>
      </c>
      <c r="R95" s="41">
        <v>0</v>
      </c>
      <c r="S95" s="41">
        <v>0</v>
      </c>
      <c r="T95" s="41">
        <v>0</v>
      </c>
      <c r="U95" s="41">
        <v>0</v>
      </c>
      <c r="V95" s="41">
        <v>0</v>
      </c>
      <c r="W95" s="41">
        <v>0</v>
      </c>
    </row>
    <row r="96" spans="1:23" hidden="1" x14ac:dyDescent="0.25">
      <c r="A96" s="18">
        <v>3172</v>
      </c>
      <c r="B96" s="19">
        <v>8517</v>
      </c>
      <c r="C96" s="19" t="s">
        <v>180</v>
      </c>
      <c r="D96" s="19" t="s">
        <v>181</v>
      </c>
      <c r="E96" s="19" t="s">
        <v>26</v>
      </c>
      <c r="F96" s="19" t="s">
        <v>175</v>
      </c>
      <c r="G96" s="20" t="str">
        <f>IF(LEN(Table12_52_034[[#This Row],[Ledger Code]])&gt;3,"AR"&amp;Table12_52_034[[#This Row],[Ledger Code]],"TBC")</f>
        <v>AR8517</v>
      </c>
      <c r="H96" s="20"/>
      <c r="I96" s="20"/>
      <c r="J96" s="20"/>
      <c r="K96" s="20"/>
      <c r="L96" s="20"/>
      <c r="M96" s="20"/>
      <c r="N96" s="20"/>
      <c r="O96" s="20"/>
      <c r="P96" s="41">
        <v>0</v>
      </c>
      <c r="Q96" s="41">
        <v>-1.4210854715202004E-14</v>
      </c>
      <c r="R96" s="41">
        <v>0</v>
      </c>
      <c r="S96" s="41">
        <v>2.8421709430404007E-14</v>
      </c>
      <c r="T96" s="41">
        <v>0</v>
      </c>
      <c r="U96" s="41">
        <v>0</v>
      </c>
      <c r="V96" s="41">
        <v>0</v>
      </c>
      <c r="W96" s="41">
        <v>0</v>
      </c>
    </row>
    <row r="97" spans="1:23" hidden="1" x14ac:dyDescent="0.25">
      <c r="A97" s="18">
        <v>3175</v>
      </c>
      <c r="B97" s="19">
        <v>8520</v>
      </c>
      <c r="C97" s="19" t="s">
        <v>182</v>
      </c>
      <c r="D97" s="19" t="s">
        <v>183</v>
      </c>
      <c r="E97" s="19" t="s">
        <v>26</v>
      </c>
      <c r="F97" s="19" t="s">
        <v>175</v>
      </c>
      <c r="G97" s="20" t="str">
        <f>IF(LEN(Table12_52_034[[#This Row],[Ledger Code]])&gt;3,"AR"&amp;Table12_52_034[[#This Row],[Ledger Code]],"TBC")</f>
        <v>AR8520</v>
      </c>
      <c r="H97" s="20"/>
      <c r="I97" s="20"/>
      <c r="J97" s="20"/>
      <c r="K97" s="20"/>
      <c r="L97" s="20"/>
      <c r="M97" s="20"/>
      <c r="N97" s="20"/>
      <c r="O97" s="20"/>
      <c r="P97" s="41">
        <v>20.399999999999999</v>
      </c>
      <c r="Q97" s="41">
        <v>-33.799999999999727</v>
      </c>
      <c r="R97" s="41">
        <v>755.8699999999991</v>
      </c>
      <c r="S97" s="41">
        <v>587.44000000000051</v>
      </c>
      <c r="T97" s="41">
        <v>2081.8000000000002</v>
      </c>
      <c r="U97" s="41">
        <v>-2.2737367544323206E-13</v>
      </c>
      <c r="V97" s="41">
        <v>2228.13</v>
      </c>
      <c r="W97" s="41">
        <v>9.0949470177292824E-13</v>
      </c>
    </row>
    <row r="98" spans="1:23" hidden="1" x14ac:dyDescent="0.25">
      <c r="A98" s="18">
        <v>3208</v>
      </c>
      <c r="B98" s="19">
        <v>9481</v>
      </c>
      <c r="C98" s="19" t="s">
        <v>184</v>
      </c>
      <c r="D98" s="19" t="s">
        <v>185</v>
      </c>
      <c r="E98" s="19" t="s">
        <v>57</v>
      </c>
      <c r="F98" s="19" t="s">
        <v>186</v>
      </c>
      <c r="G98" s="20" t="str">
        <f>IF(LEN(Table12_52_034[[#This Row],[Ledger Code]])&gt;3,"AR"&amp;Table12_52_034[[#This Row],[Ledger Code]],"TBC")</f>
        <v>AR9481</v>
      </c>
      <c r="H98" s="20"/>
      <c r="I98" s="20"/>
      <c r="J98" s="20"/>
      <c r="K98" s="20"/>
      <c r="L98" s="20"/>
      <c r="M98" s="20"/>
      <c r="N98" s="20"/>
      <c r="O98" s="20"/>
      <c r="P98" s="41">
        <v>0</v>
      </c>
      <c r="Q98" s="41">
        <v>0</v>
      </c>
      <c r="R98" s="41">
        <v>0</v>
      </c>
      <c r="S98" s="41">
        <v>0</v>
      </c>
      <c r="T98" s="41">
        <v>0</v>
      </c>
      <c r="U98" s="41">
        <v>0</v>
      </c>
      <c r="V98" s="41">
        <v>0</v>
      </c>
      <c r="W98" s="41">
        <v>0</v>
      </c>
    </row>
    <row r="99" spans="1:23" x14ac:dyDescent="0.25">
      <c r="A99" s="18">
        <v>3318</v>
      </c>
      <c r="B99" s="19">
        <v>3615</v>
      </c>
      <c r="C99" s="19" t="s">
        <v>187</v>
      </c>
      <c r="D99" s="19" t="s">
        <v>188</v>
      </c>
      <c r="E99" s="19" t="s">
        <v>57</v>
      </c>
      <c r="F99" s="19" t="s">
        <v>186</v>
      </c>
      <c r="G99" s="20" t="str">
        <f>IF(LEN(Table12_52_034[[#This Row],[Ledger Code]])&gt;3,"AR"&amp;Table12_52_034[[#This Row],[Ledger Code]],"TBC")</f>
        <v>AR3615</v>
      </c>
      <c r="H99" s="20"/>
      <c r="I99" s="20"/>
      <c r="J99" s="20"/>
      <c r="K99" s="20"/>
      <c r="L99" s="20"/>
      <c r="M99" s="20"/>
      <c r="N99" s="20"/>
      <c r="O99" s="20"/>
      <c r="P99" s="41">
        <v>0</v>
      </c>
      <c r="Q99" s="41">
        <v>0</v>
      </c>
      <c r="R99" s="41">
        <v>0</v>
      </c>
      <c r="S99" s="41">
        <v>3082.07</v>
      </c>
      <c r="T99" s="41">
        <v>0</v>
      </c>
      <c r="U99" s="41">
        <v>0</v>
      </c>
      <c r="V99" s="41">
        <v>0</v>
      </c>
      <c r="W99" s="41">
        <v>0</v>
      </c>
    </row>
    <row r="100" spans="1:23" hidden="1" x14ac:dyDescent="0.25">
      <c r="A100" s="18">
        <v>3326</v>
      </c>
      <c r="B100" s="19">
        <v>3624</v>
      </c>
      <c r="C100" s="19" t="s">
        <v>189</v>
      </c>
      <c r="D100" s="19" t="s">
        <v>190</v>
      </c>
      <c r="E100" s="19" t="s">
        <v>57</v>
      </c>
      <c r="F100" s="19" t="s">
        <v>186</v>
      </c>
      <c r="G100" s="20" t="str">
        <f>IF(LEN(Table12_52_034[[#This Row],[Ledger Code]])&gt;3,"AR"&amp;Table12_52_034[[#This Row],[Ledger Code]],"TBC")</f>
        <v>AR3624</v>
      </c>
      <c r="H100" s="20"/>
      <c r="I100" s="20"/>
      <c r="J100" s="20"/>
      <c r="K100" s="20"/>
      <c r="L100" s="20"/>
      <c r="M100" s="20"/>
      <c r="N100" s="20"/>
      <c r="O100" s="20"/>
      <c r="P100" s="41">
        <v>1093.4299999999998</v>
      </c>
      <c r="Q100" s="41">
        <v>381.86</v>
      </c>
      <c r="R100" s="41">
        <v>56.409999999999982</v>
      </c>
      <c r="S100" s="41">
        <v>765.40000000000009</v>
      </c>
      <c r="T100" s="41">
        <v>2280.81</v>
      </c>
      <c r="U100" s="41">
        <v>-3840.4100000000008</v>
      </c>
      <c r="V100" s="41">
        <v>2.2737367544323206E-13</v>
      </c>
      <c r="W100" s="41">
        <v>2.2737367544323206E-13</v>
      </c>
    </row>
    <row r="101" spans="1:23" hidden="1" x14ac:dyDescent="0.25">
      <c r="A101" s="18">
        <v>3333</v>
      </c>
      <c r="B101" s="19">
        <v>3632</v>
      </c>
      <c r="C101" s="19" t="s">
        <v>44</v>
      </c>
      <c r="D101" s="19" t="s">
        <v>191</v>
      </c>
      <c r="E101" s="19" t="s">
        <v>57</v>
      </c>
      <c r="F101" s="19" t="s">
        <v>186</v>
      </c>
      <c r="G101" s="20" t="str">
        <f>IF(LEN(Table12_52_034[[#This Row],[Ledger Code]])&gt;3,"AR"&amp;Table12_52_034[[#This Row],[Ledger Code]],"TBC")</f>
        <v>AR3632</v>
      </c>
      <c r="H101" s="20"/>
      <c r="I101" s="20"/>
      <c r="J101" s="20"/>
      <c r="K101" s="20"/>
      <c r="L101" s="20"/>
      <c r="M101" s="20"/>
      <c r="N101" s="20"/>
      <c r="O101" s="20"/>
      <c r="P101" s="41">
        <v>3289.38</v>
      </c>
      <c r="Q101" s="41">
        <v>3635.2000000000003</v>
      </c>
      <c r="R101" s="41">
        <v>296.73000000000047</v>
      </c>
      <c r="S101" s="41">
        <v>0</v>
      </c>
      <c r="T101" s="41">
        <v>6852.13</v>
      </c>
      <c r="U101" s="41">
        <v>-6103.0900000000011</v>
      </c>
      <c r="V101" s="41">
        <v>421.22</v>
      </c>
      <c r="W101" s="41">
        <v>0</v>
      </c>
    </row>
    <row r="102" spans="1:23" hidden="1" x14ac:dyDescent="0.25">
      <c r="A102" s="18">
        <v>3334</v>
      </c>
      <c r="B102" s="19">
        <v>3633</v>
      </c>
      <c r="C102" s="19" t="s">
        <v>192</v>
      </c>
      <c r="D102" s="19" t="s">
        <v>193</v>
      </c>
      <c r="E102" s="19" t="s">
        <v>57</v>
      </c>
      <c r="F102" s="19" t="s">
        <v>186</v>
      </c>
      <c r="G102" s="20" t="str">
        <f>IF(LEN(Table12_52_034[[#This Row],[Ledger Code]])&gt;3,"AR"&amp;Table12_52_034[[#This Row],[Ledger Code]],"TBC")</f>
        <v>AR3633</v>
      </c>
      <c r="H102" s="20"/>
      <c r="I102" s="20"/>
      <c r="J102" s="20"/>
      <c r="K102" s="20"/>
      <c r="L102" s="20"/>
      <c r="M102" s="20"/>
      <c r="N102" s="20"/>
      <c r="O102" s="20"/>
      <c r="P102" s="41">
        <v>0</v>
      </c>
      <c r="Q102" s="41">
        <v>0</v>
      </c>
      <c r="R102" s="41">
        <v>6608.4</v>
      </c>
      <c r="S102" s="41">
        <v>3020.84</v>
      </c>
      <c r="T102" s="41">
        <v>3280.72</v>
      </c>
      <c r="U102" s="41">
        <v>3092.4400000000005</v>
      </c>
      <c r="V102" s="41">
        <v>3254.23</v>
      </c>
      <c r="W102" s="41">
        <v>0</v>
      </c>
    </row>
    <row r="103" spans="1:23" hidden="1" x14ac:dyDescent="0.25">
      <c r="A103" s="18">
        <v>3340</v>
      </c>
      <c r="B103" s="19">
        <v>3642</v>
      </c>
      <c r="C103" s="19" t="s">
        <v>194</v>
      </c>
      <c r="D103" s="19" t="s">
        <v>195</v>
      </c>
      <c r="E103" s="19" t="s">
        <v>57</v>
      </c>
      <c r="F103" s="19" t="s">
        <v>186</v>
      </c>
      <c r="G103" s="20" t="str">
        <f>IF(LEN(Table12_52_034[[#This Row],[Ledger Code]])&gt;3,"AR"&amp;Table12_52_034[[#This Row],[Ledger Code]],"TBC")</f>
        <v>AR3642</v>
      </c>
      <c r="H103" s="20"/>
      <c r="I103" s="20"/>
      <c r="J103" s="20"/>
      <c r="K103" s="20"/>
      <c r="L103" s="20"/>
      <c r="M103" s="20"/>
      <c r="N103" s="20"/>
      <c r="O103" s="20"/>
      <c r="P103" s="41">
        <v>6.78</v>
      </c>
      <c r="Q103" s="41">
        <v>23.47</v>
      </c>
      <c r="R103" s="41">
        <v>6.7800000000000011</v>
      </c>
      <c r="S103" s="41">
        <v>0</v>
      </c>
      <c r="T103" s="41">
        <v>0</v>
      </c>
      <c r="U103" s="41">
        <v>0</v>
      </c>
      <c r="V103" s="41">
        <v>0</v>
      </c>
      <c r="W103" s="41">
        <v>0</v>
      </c>
    </row>
    <row r="104" spans="1:23" hidden="1" x14ac:dyDescent="0.25">
      <c r="A104" s="18">
        <v>3345</v>
      </c>
      <c r="B104" s="19">
        <v>3644</v>
      </c>
      <c r="C104" s="19" t="s">
        <v>196</v>
      </c>
      <c r="D104" s="19" t="s">
        <v>197</v>
      </c>
      <c r="E104" s="19" t="s">
        <v>57</v>
      </c>
      <c r="F104" s="19" t="s">
        <v>186</v>
      </c>
      <c r="G104" s="20" t="str">
        <f>IF(LEN(Table12_52_034[[#This Row],[Ledger Code]])&gt;3,"AR"&amp;Table12_52_034[[#This Row],[Ledger Code]],"TBC")</f>
        <v>AR3644</v>
      </c>
      <c r="H104" s="20"/>
      <c r="I104" s="20"/>
      <c r="J104" s="20"/>
      <c r="K104" s="20"/>
      <c r="L104" s="20"/>
      <c r="M104" s="20"/>
      <c r="N104" s="20"/>
      <c r="O104" s="20"/>
      <c r="P104" s="41">
        <v>0</v>
      </c>
      <c r="Q104" s="41">
        <v>280.38</v>
      </c>
      <c r="R104" s="41">
        <v>0</v>
      </c>
      <c r="S104" s="41">
        <v>292.04000000000002</v>
      </c>
      <c r="T104" s="41">
        <v>0</v>
      </c>
      <c r="U104" s="41">
        <v>2988.05</v>
      </c>
      <c r="V104" s="41">
        <v>0</v>
      </c>
      <c r="W104" s="41">
        <v>-2988.05</v>
      </c>
    </row>
    <row r="105" spans="1:23" hidden="1" x14ac:dyDescent="0.25">
      <c r="A105" s="18">
        <v>3414</v>
      </c>
      <c r="B105" s="19">
        <v>3715</v>
      </c>
      <c r="C105" s="19" t="s">
        <v>198</v>
      </c>
      <c r="D105" s="19" t="s">
        <v>199</v>
      </c>
      <c r="E105" s="19" t="s">
        <v>57</v>
      </c>
      <c r="F105" s="19" t="s">
        <v>186</v>
      </c>
      <c r="G105" s="20" t="str">
        <f>IF(LEN(Table12_52_034[[#This Row],[Ledger Code]])&gt;3,"AR"&amp;Table12_52_034[[#This Row],[Ledger Code]],"TBC")</f>
        <v>AR3715</v>
      </c>
      <c r="H105" s="20"/>
      <c r="I105" s="20"/>
      <c r="J105" s="20"/>
      <c r="K105" s="20"/>
      <c r="L105" s="20"/>
      <c r="M105" s="20"/>
      <c r="N105" s="20"/>
      <c r="O105" s="20"/>
      <c r="P105" s="41">
        <v>0</v>
      </c>
      <c r="Q105" s="41">
        <v>2360.25</v>
      </c>
      <c r="R105" s="41">
        <v>4639.0200000000004</v>
      </c>
      <c r="S105" s="41">
        <v>140.35999999999967</v>
      </c>
      <c r="T105" s="41">
        <v>2745.37</v>
      </c>
      <c r="U105" s="41">
        <v>2201.2199999999993</v>
      </c>
      <c r="V105" s="41">
        <v>2315.06</v>
      </c>
      <c r="W105" s="41">
        <v>2241.63</v>
      </c>
    </row>
    <row r="106" spans="1:23" hidden="1" x14ac:dyDescent="0.25">
      <c r="A106" s="18">
        <v>3418</v>
      </c>
      <c r="B106" s="19">
        <v>3704</v>
      </c>
      <c r="C106" s="19" t="s">
        <v>200</v>
      </c>
      <c r="D106" s="19" t="s">
        <v>201</v>
      </c>
      <c r="E106" s="19" t="s">
        <v>57</v>
      </c>
      <c r="F106" s="19" t="s">
        <v>186</v>
      </c>
      <c r="G106" s="20" t="str">
        <f>IF(LEN(Table12_52_034[[#This Row],[Ledger Code]])&gt;3,"AR"&amp;Table12_52_034[[#This Row],[Ledger Code]],"TBC")</f>
        <v>AR3704</v>
      </c>
      <c r="H106" s="20"/>
      <c r="I106" s="20"/>
      <c r="J106" s="20"/>
      <c r="K106" s="20"/>
      <c r="L106" s="20"/>
      <c r="M106" s="20"/>
      <c r="N106" s="20"/>
      <c r="O106" s="20"/>
      <c r="P106" s="41">
        <v>0</v>
      </c>
      <c r="Q106" s="41">
        <v>0</v>
      </c>
      <c r="R106" s="41">
        <v>44835.240000000005</v>
      </c>
      <c r="S106" s="41">
        <v>-32608.420000000002</v>
      </c>
      <c r="T106" s="41">
        <v>871.16999999999825</v>
      </c>
      <c r="U106" s="41">
        <v>653.36999999999534</v>
      </c>
      <c r="V106" s="41">
        <v>1082.1900000000023</v>
      </c>
      <c r="W106" s="41">
        <v>1121.2399999999998</v>
      </c>
    </row>
    <row r="107" spans="1:23" hidden="1" x14ac:dyDescent="0.25">
      <c r="A107" s="18">
        <v>3442</v>
      </c>
      <c r="B107" s="19">
        <v>6527</v>
      </c>
      <c r="C107" s="19" t="s">
        <v>202</v>
      </c>
      <c r="D107" s="19" t="s">
        <v>203</v>
      </c>
      <c r="E107" s="19" t="s">
        <v>9</v>
      </c>
      <c r="F107" s="19" t="s">
        <v>83</v>
      </c>
      <c r="G107" s="20" t="str">
        <f>IF(LEN(Table12_52_034[[#This Row],[Ledger Code]])&gt;3,"AR"&amp;Table12_52_034[[#This Row],[Ledger Code]],"TBC")</f>
        <v>AR6527</v>
      </c>
      <c r="H107" s="20"/>
      <c r="I107" s="20"/>
      <c r="J107" s="20"/>
      <c r="K107" s="20"/>
      <c r="L107" s="20"/>
      <c r="M107" s="20"/>
      <c r="N107" s="20"/>
      <c r="O107" s="20"/>
      <c r="P107" s="41">
        <v>0</v>
      </c>
      <c r="Q107" s="41">
        <v>0</v>
      </c>
      <c r="R107" s="41">
        <v>0</v>
      </c>
      <c r="S107" s="41">
        <v>302.90999999999997</v>
      </c>
      <c r="T107" s="41">
        <v>58.04</v>
      </c>
      <c r="U107" s="41">
        <v>7.1054273576010019E-15</v>
      </c>
      <c r="V107" s="41">
        <v>209.07999999999998</v>
      </c>
      <c r="W107" s="41">
        <v>200.19</v>
      </c>
    </row>
    <row r="108" spans="1:23" hidden="1" x14ac:dyDescent="0.25">
      <c r="A108" s="18">
        <v>3513</v>
      </c>
      <c r="B108" s="19">
        <v>6413</v>
      </c>
      <c r="C108" s="19" t="s">
        <v>204</v>
      </c>
      <c r="D108" s="19" t="s">
        <v>205</v>
      </c>
      <c r="E108" s="19" t="s">
        <v>9</v>
      </c>
      <c r="F108" s="19" t="s">
        <v>83</v>
      </c>
      <c r="G108" s="20" t="str">
        <f>IF(LEN(Table12_52_034[[#This Row],[Ledger Code]])&gt;3,"AR"&amp;Table12_52_034[[#This Row],[Ledger Code]],"TBC")</f>
        <v>AR6413</v>
      </c>
      <c r="H108" s="20"/>
      <c r="I108" s="20"/>
      <c r="J108" s="20"/>
      <c r="K108" s="20"/>
      <c r="L108" s="20"/>
      <c r="M108" s="20"/>
      <c r="N108" s="20"/>
      <c r="O108" s="20"/>
      <c r="P108" s="41">
        <v>0</v>
      </c>
      <c r="Q108" s="41">
        <v>0</v>
      </c>
      <c r="R108" s="41">
        <v>0</v>
      </c>
      <c r="S108" s="41">
        <v>1520.84</v>
      </c>
      <c r="T108" s="41">
        <v>0</v>
      </c>
      <c r="U108" s="41">
        <v>1435.1399999999994</v>
      </c>
      <c r="V108" s="41">
        <v>0</v>
      </c>
      <c r="W108" s="41">
        <v>1334.35</v>
      </c>
    </row>
    <row r="109" spans="1:23" hidden="1" x14ac:dyDescent="0.25">
      <c r="A109" s="18">
        <v>3539</v>
      </c>
      <c r="B109" s="19">
        <v>6440</v>
      </c>
      <c r="C109" s="19" t="s">
        <v>206</v>
      </c>
      <c r="D109" s="19" t="s">
        <v>207</v>
      </c>
      <c r="E109" s="19" t="s">
        <v>9</v>
      </c>
      <c r="F109" s="19" t="s">
        <v>83</v>
      </c>
      <c r="G109" s="20" t="str">
        <f>IF(LEN(Table12_52_034[[#This Row],[Ledger Code]])&gt;3,"AR"&amp;Table12_52_034[[#This Row],[Ledger Code]],"TBC")</f>
        <v>AR6440</v>
      </c>
      <c r="H109" s="20"/>
      <c r="I109" s="20"/>
      <c r="J109" s="20"/>
      <c r="K109" s="20"/>
      <c r="L109" s="20"/>
      <c r="M109" s="20"/>
      <c r="N109" s="20"/>
      <c r="O109" s="20"/>
      <c r="P109" s="41">
        <v>0</v>
      </c>
      <c r="Q109" s="41">
        <v>375.92</v>
      </c>
      <c r="R109" s="41">
        <v>99.3</v>
      </c>
      <c r="S109" s="41">
        <v>0</v>
      </c>
      <c r="T109" s="41">
        <v>708.32</v>
      </c>
      <c r="U109" s="41">
        <v>352.13</v>
      </c>
      <c r="V109" s="41">
        <v>0</v>
      </c>
      <c r="W109" s="41">
        <v>273.88999999999987</v>
      </c>
    </row>
    <row r="110" spans="1:23" hidden="1" x14ac:dyDescent="0.25">
      <c r="A110" s="18">
        <v>3541</v>
      </c>
      <c r="B110" s="19">
        <v>6443</v>
      </c>
      <c r="C110" s="19" t="s">
        <v>208</v>
      </c>
      <c r="D110" s="19" t="s">
        <v>209</v>
      </c>
      <c r="E110" s="19" t="s">
        <v>9</v>
      </c>
      <c r="F110" s="19" t="s">
        <v>83</v>
      </c>
      <c r="G110" s="20" t="str">
        <f>IF(LEN(Table12_52_034[[#This Row],[Ledger Code]])&gt;3,"AR"&amp;Table12_52_034[[#This Row],[Ledger Code]],"TBC")</f>
        <v>AR6443</v>
      </c>
      <c r="H110" s="20"/>
      <c r="I110" s="20"/>
      <c r="J110" s="20"/>
      <c r="K110" s="20"/>
      <c r="L110" s="20"/>
      <c r="M110" s="20"/>
      <c r="N110" s="20"/>
      <c r="O110" s="20"/>
      <c r="P110" s="41">
        <v>120</v>
      </c>
      <c r="Q110" s="41">
        <v>-1.4210854715202004E-14</v>
      </c>
      <c r="R110" s="41">
        <v>0</v>
      </c>
      <c r="S110" s="41">
        <v>920.72</v>
      </c>
      <c r="T110" s="41">
        <v>400.13</v>
      </c>
      <c r="U110" s="41">
        <v>0</v>
      </c>
      <c r="V110" s="41">
        <v>1053.21</v>
      </c>
      <c r="W110" s="41">
        <v>312.86</v>
      </c>
    </row>
    <row r="111" spans="1:23" hidden="1" x14ac:dyDescent="0.25">
      <c r="A111" s="18">
        <v>3542</v>
      </c>
      <c r="B111" s="19">
        <v>6444</v>
      </c>
      <c r="C111" s="19" t="s">
        <v>210</v>
      </c>
      <c r="D111" s="19" t="s">
        <v>211</v>
      </c>
      <c r="E111" s="19" t="s">
        <v>9</v>
      </c>
      <c r="F111" s="19" t="s">
        <v>83</v>
      </c>
      <c r="G111" s="20" t="str">
        <f>IF(LEN(Table12_52_034[[#This Row],[Ledger Code]])&gt;3,"AR"&amp;Table12_52_034[[#This Row],[Ledger Code]],"TBC")</f>
        <v>AR6444</v>
      </c>
      <c r="H111" s="20"/>
      <c r="I111" s="20"/>
      <c r="J111" s="20"/>
      <c r="K111" s="20"/>
      <c r="L111" s="20"/>
      <c r="M111" s="20"/>
      <c r="N111" s="20"/>
      <c r="O111" s="20"/>
      <c r="P111" s="41">
        <v>0</v>
      </c>
      <c r="Q111" s="41">
        <v>0</v>
      </c>
      <c r="R111" s="41">
        <v>0</v>
      </c>
      <c r="S111" s="41">
        <v>0</v>
      </c>
      <c r="T111" s="41">
        <v>0</v>
      </c>
      <c r="U111" s="41">
        <v>0</v>
      </c>
      <c r="V111" s="41">
        <v>131.26</v>
      </c>
      <c r="W111" s="41">
        <v>76.459999999999994</v>
      </c>
    </row>
    <row r="112" spans="1:23" hidden="1" x14ac:dyDescent="0.25">
      <c r="A112" s="18">
        <v>3574</v>
      </c>
      <c r="B112" s="19">
        <v>6477</v>
      </c>
      <c r="C112" s="19" t="s">
        <v>212</v>
      </c>
      <c r="D112" s="19" t="s">
        <v>213</v>
      </c>
      <c r="E112" s="19" t="s">
        <v>9</v>
      </c>
      <c r="F112" s="19" t="s">
        <v>83</v>
      </c>
      <c r="G112" s="20" t="str">
        <f>IF(LEN(Table12_52_034[[#This Row],[Ledger Code]])&gt;3,"AR"&amp;Table12_52_034[[#This Row],[Ledger Code]],"TBC")</f>
        <v>AR6477</v>
      </c>
      <c r="H112" s="20"/>
      <c r="I112" s="20"/>
      <c r="J112" s="20"/>
      <c r="K112" s="20"/>
      <c r="L112" s="20"/>
      <c r="M112" s="20"/>
      <c r="N112" s="20"/>
      <c r="O112" s="20"/>
      <c r="P112" s="41">
        <v>0</v>
      </c>
      <c r="Q112" s="41">
        <v>0</v>
      </c>
      <c r="R112" s="41">
        <v>0</v>
      </c>
      <c r="S112" s="41">
        <v>0</v>
      </c>
      <c r="T112" s="41">
        <v>0</v>
      </c>
      <c r="U112" s="41">
        <v>0</v>
      </c>
      <c r="V112" s="41">
        <v>0</v>
      </c>
      <c r="W112" s="41">
        <v>0</v>
      </c>
    </row>
    <row r="113" spans="1:23" hidden="1" x14ac:dyDescent="0.25">
      <c r="A113" s="18">
        <v>3720</v>
      </c>
      <c r="B113" s="19">
        <v>3967</v>
      </c>
      <c r="C113" s="19" t="s">
        <v>214</v>
      </c>
      <c r="D113" s="19" t="s">
        <v>215</v>
      </c>
      <c r="E113" s="19" t="s">
        <v>57</v>
      </c>
      <c r="F113" s="19" t="s">
        <v>186</v>
      </c>
      <c r="G113" s="20" t="str">
        <f>IF(LEN(Table12_52_034[[#This Row],[Ledger Code]])&gt;3,"AR"&amp;Table12_52_034[[#This Row],[Ledger Code]],"TBC")</f>
        <v>AR3967</v>
      </c>
      <c r="H113" s="20"/>
      <c r="I113" s="20"/>
      <c r="J113" s="20"/>
      <c r="K113" s="20"/>
      <c r="L113" s="20"/>
      <c r="M113" s="20"/>
      <c r="N113" s="20"/>
      <c r="O113" s="20"/>
      <c r="P113" s="41">
        <v>0</v>
      </c>
      <c r="Q113" s="41">
        <v>4251.2700000000004</v>
      </c>
      <c r="R113" s="41">
        <v>1714.51</v>
      </c>
      <c r="S113" s="41">
        <v>0</v>
      </c>
      <c r="T113" s="41">
        <v>3812.1</v>
      </c>
      <c r="U113" s="41">
        <v>2359.54</v>
      </c>
      <c r="V113" s="41">
        <v>1548.31</v>
      </c>
      <c r="W113" s="41">
        <v>1557.26</v>
      </c>
    </row>
    <row r="114" spans="1:23" hidden="1" x14ac:dyDescent="0.25">
      <c r="A114" s="18">
        <v>3748</v>
      </c>
      <c r="B114" s="19">
        <v>3993</v>
      </c>
      <c r="C114" s="19" t="s">
        <v>216</v>
      </c>
      <c r="D114" s="19" t="s">
        <v>217</v>
      </c>
      <c r="E114" s="19" t="s">
        <v>57</v>
      </c>
      <c r="F114" s="19" t="s">
        <v>186</v>
      </c>
      <c r="G114" s="20" t="str">
        <f>IF(LEN(Table12_52_034[[#This Row],[Ledger Code]])&gt;3,"AR"&amp;Table12_52_034[[#This Row],[Ledger Code]],"TBC")</f>
        <v>AR3993</v>
      </c>
      <c r="H114" s="20"/>
      <c r="I114" s="20"/>
      <c r="J114" s="20"/>
      <c r="K114" s="20"/>
      <c r="L114" s="20"/>
      <c r="M114" s="20"/>
      <c r="N114" s="20"/>
      <c r="O114" s="20"/>
      <c r="P114" s="41">
        <v>0</v>
      </c>
      <c r="Q114" s="41">
        <v>7529.1500000000005</v>
      </c>
      <c r="R114" s="41">
        <v>772.12</v>
      </c>
      <c r="S114" s="41">
        <v>995.02999999999975</v>
      </c>
      <c r="T114" s="41">
        <v>7576.59</v>
      </c>
      <c r="U114" s="41">
        <v>887.32999999999993</v>
      </c>
      <c r="V114" s="41">
        <v>0</v>
      </c>
      <c r="W114" s="41">
        <v>1909.4099999999999</v>
      </c>
    </row>
    <row r="115" spans="1:23" hidden="1" x14ac:dyDescent="0.25">
      <c r="A115" s="18">
        <v>3945</v>
      </c>
      <c r="B115" s="19">
        <v>7030</v>
      </c>
      <c r="C115" s="19" t="s">
        <v>326</v>
      </c>
      <c r="D115" s="19">
        <v>0</v>
      </c>
      <c r="E115" s="19" t="s">
        <v>220</v>
      </c>
      <c r="F115" s="19" t="s">
        <v>221</v>
      </c>
      <c r="G115" s="20" t="str">
        <f>IF(LEN(Table12_52_034[[#This Row],[Ledger Code]])&gt;3,"AR"&amp;Table12_52_034[[#This Row],[Ledger Code]],"TBC")</f>
        <v>AR7030</v>
      </c>
      <c r="H115" s="20"/>
      <c r="I115" s="20"/>
      <c r="J115" s="20"/>
      <c r="K115" s="20"/>
      <c r="L115" s="20"/>
      <c r="M115" s="20"/>
      <c r="N115" s="20"/>
      <c r="O115" s="20"/>
      <c r="P115" s="41">
        <v>-9.0949470177292824E-13</v>
      </c>
      <c r="Q115" s="41">
        <v>22063.179999999997</v>
      </c>
      <c r="R115" s="41">
        <v>9379.5400000000009</v>
      </c>
      <c r="S115" s="41">
        <v>5154.7900000000036</v>
      </c>
      <c r="T115" s="41">
        <v>20544.3</v>
      </c>
      <c r="U115" s="41">
        <v>18118.599999999999</v>
      </c>
      <c r="V115" s="41">
        <v>7956.0899999999992</v>
      </c>
      <c r="W115" s="41">
        <v>7221.66</v>
      </c>
    </row>
    <row r="116" spans="1:23" hidden="1" x14ac:dyDescent="0.25">
      <c r="A116" s="18">
        <v>3959</v>
      </c>
      <c r="B116" s="19">
        <v>7075</v>
      </c>
      <c r="C116" s="19" t="s">
        <v>218</v>
      </c>
      <c r="D116" s="19" t="s">
        <v>219</v>
      </c>
      <c r="E116" s="19" t="s">
        <v>220</v>
      </c>
      <c r="F116" s="19" t="s">
        <v>221</v>
      </c>
      <c r="G116" s="20" t="str">
        <f>IF(LEN(Table12_52_034[[#This Row],[Ledger Code]])&gt;3,"AR"&amp;Table12_52_034[[#This Row],[Ledger Code]],"TBC")</f>
        <v>AR7075</v>
      </c>
      <c r="H116" s="20"/>
      <c r="I116" s="20"/>
      <c r="J116" s="20"/>
      <c r="K116" s="20"/>
      <c r="L116" s="20"/>
      <c r="M116" s="20"/>
      <c r="N116" s="20"/>
      <c r="O116" s="20"/>
      <c r="P116" s="41">
        <v>0</v>
      </c>
      <c r="Q116" s="41">
        <v>0</v>
      </c>
      <c r="R116" s="41">
        <v>0</v>
      </c>
      <c r="S116" s="41">
        <v>-7.1054273576010019E-15</v>
      </c>
      <c r="T116" s="41">
        <v>0</v>
      </c>
      <c r="U116" s="41">
        <v>0</v>
      </c>
      <c r="V116" s="41">
        <v>0</v>
      </c>
      <c r="W116" s="41">
        <v>0</v>
      </c>
    </row>
    <row r="117" spans="1:23" hidden="1" x14ac:dyDescent="0.25">
      <c r="A117" s="18">
        <v>3977</v>
      </c>
      <c r="B117" s="19">
        <v>7103</v>
      </c>
      <c r="C117" s="19" t="s">
        <v>222</v>
      </c>
      <c r="D117" s="19" t="s">
        <v>223</v>
      </c>
      <c r="E117" s="19" t="s">
        <v>220</v>
      </c>
      <c r="F117" s="19" t="s">
        <v>221</v>
      </c>
      <c r="G117" s="20" t="str">
        <f>IF(LEN(Table12_52_034[[#This Row],[Ledger Code]])&gt;3,"AR"&amp;Table12_52_034[[#This Row],[Ledger Code]],"TBC")</f>
        <v>AR7103</v>
      </c>
      <c r="H117" s="20"/>
      <c r="I117" s="20"/>
      <c r="J117" s="20"/>
      <c r="K117" s="20"/>
      <c r="L117" s="20"/>
      <c r="M117" s="20"/>
      <c r="N117" s="20"/>
      <c r="O117" s="20"/>
      <c r="P117" s="41">
        <v>264</v>
      </c>
      <c r="Q117" s="41">
        <v>4456.34</v>
      </c>
      <c r="R117" s="41">
        <v>0</v>
      </c>
      <c r="S117" s="41">
        <v>2543.0500000000002</v>
      </c>
      <c r="T117" s="41">
        <v>748.14999999999986</v>
      </c>
      <c r="U117" s="41">
        <v>6375.23</v>
      </c>
      <c r="V117" s="41">
        <v>0</v>
      </c>
      <c r="W117" s="41">
        <v>1123.3699999999999</v>
      </c>
    </row>
    <row r="118" spans="1:23" hidden="1" x14ac:dyDescent="0.25">
      <c r="A118" s="18">
        <v>4053</v>
      </c>
      <c r="B118" s="19">
        <v>7258</v>
      </c>
      <c r="C118" s="19" t="s">
        <v>324</v>
      </c>
      <c r="D118" s="19" t="s">
        <v>325</v>
      </c>
      <c r="E118" s="19" t="s">
        <v>220</v>
      </c>
      <c r="F118" s="19">
        <v>0</v>
      </c>
      <c r="G118" s="20" t="str">
        <f>IF(LEN(Table12_52_034[[#This Row],[Ledger Code]])&gt;3,"AR"&amp;Table12_52_034[[#This Row],[Ledger Code]],"TBC")</f>
        <v>AR7258</v>
      </c>
      <c r="H118" s="20"/>
      <c r="I118" s="20"/>
      <c r="J118" s="20"/>
      <c r="K118" s="20"/>
      <c r="L118" s="20"/>
      <c r="M118" s="20"/>
      <c r="N118" s="20"/>
      <c r="O118" s="20"/>
      <c r="P118" s="41">
        <v>0</v>
      </c>
      <c r="Q118" s="41">
        <v>3779.6200000000026</v>
      </c>
      <c r="R118" s="41">
        <v>699.21999999999969</v>
      </c>
      <c r="S118" s="41">
        <v>2190.91</v>
      </c>
      <c r="T118" s="41">
        <v>1955.22</v>
      </c>
      <c r="U118" s="41">
        <v>1200.6800000000007</v>
      </c>
      <c r="V118" s="41">
        <v>249.32999999999998</v>
      </c>
      <c r="W118" s="41">
        <v>1464.12</v>
      </c>
    </row>
    <row r="119" spans="1:23" hidden="1" x14ac:dyDescent="0.25">
      <c r="A119" s="18">
        <v>4058</v>
      </c>
      <c r="B119" s="19">
        <v>7284</v>
      </c>
      <c r="C119" s="19" t="s">
        <v>224</v>
      </c>
      <c r="D119" s="19" t="s">
        <v>225</v>
      </c>
      <c r="E119" s="19" t="s">
        <v>220</v>
      </c>
      <c r="F119" s="19" t="s">
        <v>221</v>
      </c>
      <c r="G119" s="20" t="str">
        <f>IF(LEN(Table12_52_034[[#This Row],[Ledger Code]])&gt;3,"AR"&amp;Table12_52_034[[#This Row],[Ledger Code]],"TBC")</f>
        <v>AR7284</v>
      </c>
      <c r="H119" s="20"/>
      <c r="I119" s="20"/>
      <c r="J119" s="20"/>
      <c r="K119" s="20"/>
      <c r="L119" s="20"/>
      <c r="M119" s="20"/>
      <c r="N119" s="20"/>
      <c r="O119" s="20"/>
      <c r="P119" s="41">
        <v>0</v>
      </c>
      <c r="Q119" s="41">
        <v>0</v>
      </c>
      <c r="R119" s="41">
        <v>0</v>
      </c>
      <c r="S119" s="41">
        <v>0</v>
      </c>
      <c r="T119" s="41">
        <v>1707.8999999999996</v>
      </c>
      <c r="U119" s="41">
        <v>-7.3896444519050419E-13</v>
      </c>
      <c r="V119" s="41">
        <v>0</v>
      </c>
      <c r="W119" s="41">
        <v>0</v>
      </c>
    </row>
    <row r="120" spans="1:23" hidden="1" x14ac:dyDescent="0.25">
      <c r="A120" s="18">
        <v>4219</v>
      </c>
      <c r="B120" s="19">
        <v>7430</v>
      </c>
      <c r="C120" s="19" t="s">
        <v>226</v>
      </c>
      <c r="D120" s="19" t="s">
        <v>227</v>
      </c>
      <c r="E120" s="19" t="s">
        <v>220</v>
      </c>
      <c r="F120" s="19" t="s">
        <v>228</v>
      </c>
      <c r="G120" s="20" t="str">
        <f>IF(LEN(Table12_52_034[[#This Row],[Ledger Code]])&gt;3,"AR"&amp;Table12_52_034[[#This Row],[Ledger Code]],"TBC")</f>
        <v>AR7430</v>
      </c>
      <c r="H120" s="20"/>
      <c r="I120" s="20"/>
      <c r="J120" s="20"/>
      <c r="K120" s="20"/>
      <c r="L120" s="20"/>
      <c r="M120" s="20"/>
      <c r="N120" s="20"/>
      <c r="O120" s="20"/>
      <c r="P120" s="41">
        <v>0</v>
      </c>
      <c r="Q120" s="41">
        <v>0</v>
      </c>
      <c r="R120" s="41">
        <v>0</v>
      </c>
      <c r="S120" s="41">
        <v>0</v>
      </c>
      <c r="T120" s="41">
        <v>0</v>
      </c>
      <c r="U120" s="41">
        <v>0</v>
      </c>
      <c r="V120" s="41">
        <v>0</v>
      </c>
      <c r="W120" s="41">
        <v>0</v>
      </c>
    </row>
    <row r="121" spans="1:23" hidden="1" x14ac:dyDescent="0.25">
      <c r="A121" s="18">
        <v>4267</v>
      </c>
      <c r="B121" s="19">
        <v>7468</v>
      </c>
      <c r="C121" s="19" t="s">
        <v>229</v>
      </c>
      <c r="D121" s="19" t="s">
        <v>230</v>
      </c>
      <c r="E121" s="19" t="s">
        <v>220</v>
      </c>
      <c r="F121" s="19" t="s">
        <v>228</v>
      </c>
      <c r="G121" s="20" t="str">
        <f>IF(LEN(Table12_52_034[[#This Row],[Ledger Code]])&gt;3,"AR"&amp;Table12_52_034[[#This Row],[Ledger Code]],"TBC")</f>
        <v>AR7468</v>
      </c>
      <c r="H121" s="20"/>
      <c r="I121" s="20"/>
      <c r="J121" s="20"/>
      <c r="K121" s="20"/>
      <c r="L121" s="20"/>
      <c r="M121" s="20"/>
      <c r="N121" s="20"/>
      <c r="O121" s="20"/>
      <c r="P121" s="41">
        <v>0</v>
      </c>
      <c r="Q121" s="41">
        <v>0</v>
      </c>
      <c r="R121" s="41">
        <v>-2.8421709430404007E-14</v>
      </c>
      <c r="S121" s="41">
        <v>-1.1368683772161603E-13</v>
      </c>
      <c r="T121" s="41">
        <v>0</v>
      </c>
      <c r="U121" s="41">
        <v>0</v>
      </c>
      <c r="V121" s="41">
        <v>0</v>
      </c>
      <c r="W121" s="41">
        <v>0</v>
      </c>
    </row>
    <row r="122" spans="1:23" hidden="1" x14ac:dyDescent="0.25">
      <c r="A122" s="18">
        <v>4309</v>
      </c>
      <c r="B122" s="19">
        <v>4198</v>
      </c>
      <c r="C122" s="19" t="s">
        <v>231</v>
      </c>
      <c r="D122" s="19" t="s">
        <v>232</v>
      </c>
      <c r="E122" s="19" t="s">
        <v>57</v>
      </c>
      <c r="F122" s="19" t="s">
        <v>233</v>
      </c>
      <c r="G122" s="20" t="str">
        <f>IF(LEN(Table12_52_034[[#This Row],[Ledger Code]])&gt;3,"AR"&amp;Table12_52_034[[#This Row],[Ledger Code]],"TBC")</f>
        <v>AR4198</v>
      </c>
      <c r="H122" s="20"/>
      <c r="I122" s="20"/>
      <c r="J122" s="20"/>
      <c r="K122" s="20"/>
      <c r="L122" s="20"/>
      <c r="M122" s="20"/>
      <c r="N122" s="20"/>
      <c r="O122" s="20"/>
      <c r="P122" s="41">
        <v>0</v>
      </c>
      <c r="Q122" s="41">
        <v>305.99</v>
      </c>
      <c r="R122" s="41">
        <v>-3.5527136788005009E-15</v>
      </c>
      <c r="S122" s="41">
        <v>1032.69</v>
      </c>
      <c r="T122" s="41">
        <v>404.38</v>
      </c>
      <c r="U122" s="41">
        <v>49.339999999999975</v>
      </c>
      <c r="V122" s="41">
        <v>0</v>
      </c>
      <c r="W122" s="41">
        <v>429.96000000000004</v>
      </c>
    </row>
    <row r="123" spans="1:23" hidden="1" x14ac:dyDescent="0.25">
      <c r="A123" s="18">
        <v>4338</v>
      </c>
      <c r="B123" s="19">
        <v>4101</v>
      </c>
      <c r="C123" s="19" t="s">
        <v>234</v>
      </c>
      <c r="D123" s="19" t="s">
        <v>235</v>
      </c>
      <c r="E123" s="19" t="s">
        <v>57</v>
      </c>
      <c r="F123" s="19" t="s">
        <v>233</v>
      </c>
      <c r="G123" s="20" t="str">
        <f>IF(LEN(Table12_52_034[[#This Row],[Ledger Code]])&gt;3,"AR"&amp;Table12_52_034[[#This Row],[Ledger Code]],"TBC")</f>
        <v>AR4101</v>
      </c>
      <c r="H123" s="20"/>
      <c r="I123" s="20"/>
      <c r="J123" s="20"/>
      <c r="K123" s="20"/>
      <c r="L123" s="20"/>
      <c r="M123" s="20"/>
      <c r="N123" s="20"/>
      <c r="O123" s="20"/>
      <c r="P123" s="41">
        <v>0</v>
      </c>
      <c r="Q123" s="41">
        <v>0</v>
      </c>
      <c r="R123" s="41">
        <v>0</v>
      </c>
      <c r="S123" s="41">
        <v>4096.7299999999996</v>
      </c>
      <c r="T123" s="41">
        <v>-296.74</v>
      </c>
      <c r="U123" s="41">
        <v>1191.8699999999999</v>
      </c>
      <c r="V123" s="41">
        <v>0</v>
      </c>
      <c r="W123" s="41">
        <v>1914.1599999999999</v>
      </c>
    </row>
    <row r="124" spans="1:23" hidden="1" x14ac:dyDescent="0.25">
      <c r="A124" s="18">
        <v>4397</v>
      </c>
      <c r="B124" s="19">
        <v>4080</v>
      </c>
      <c r="C124" s="19" t="s">
        <v>236</v>
      </c>
      <c r="D124" s="19" t="s">
        <v>237</v>
      </c>
      <c r="E124" s="19" t="s">
        <v>57</v>
      </c>
      <c r="F124" s="19" t="s">
        <v>233</v>
      </c>
      <c r="G124" s="20" t="str">
        <f>IF(LEN(Table12_52_034[[#This Row],[Ledger Code]])&gt;3,"AR"&amp;Table12_52_034[[#This Row],[Ledger Code]],"TBC")</f>
        <v>AR4080</v>
      </c>
      <c r="H124" s="20"/>
      <c r="I124" s="20"/>
      <c r="J124" s="20"/>
      <c r="K124" s="20"/>
      <c r="L124" s="20"/>
      <c r="M124" s="20"/>
      <c r="N124" s="20"/>
      <c r="O124" s="20"/>
      <c r="P124" s="41">
        <v>0</v>
      </c>
      <c r="Q124" s="41">
        <v>1455.45</v>
      </c>
      <c r="R124" s="41">
        <v>1536.13</v>
      </c>
      <c r="S124" s="41">
        <v>1252.07</v>
      </c>
      <c r="T124" s="41">
        <v>-2498.91</v>
      </c>
      <c r="U124" s="41">
        <v>591.16999999999825</v>
      </c>
      <c r="V124" s="41">
        <v>5812.12</v>
      </c>
      <c r="W124" s="41">
        <v>0</v>
      </c>
    </row>
    <row r="125" spans="1:23" hidden="1" x14ac:dyDescent="0.25">
      <c r="A125" s="18">
        <v>4487</v>
      </c>
      <c r="B125" s="19">
        <v>6591</v>
      </c>
      <c r="C125" s="19" t="s">
        <v>238</v>
      </c>
      <c r="D125" s="19" t="s">
        <v>239</v>
      </c>
      <c r="E125" s="19" t="s">
        <v>9</v>
      </c>
      <c r="F125" s="19" t="s">
        <v>10</v>
      </c>
      <c r="G125" s="20" t="str">
        <f>IF(LEN(Table12_52_034[[#This Row],[Ledger Code]])&gt;3,"AR"&amp;Table12_52_034[[#This Row],[Ledger Code]],"TBC")</f>
        <v>AR6591</v>
      </c>
      <c r="H125" s="20"/>
      <c r="I125" s="20"/>
      <c r="J125" s="20"/>
      <c r="K125" s="20"/>
      <c r="L125" s="20"/>
      <c r="M125" s="20"/>
      <c r="N125" s="20"/>
      <c r="O125" s="20"/>
      <c r="P125" s="41">
        <v>0</v>
      </c>
      <c r="Q125" s="41">
        <v>0</v>
      </c>
      <c r="R125" s="41">
        <v>0</v>
      </c>
      <c r="S125" s="41">
        <v>0</v>
      </c>
      <c r="T125" s="41">
        <v>0</v>
      </c>
      <c r="U125" s="41">
        <v>0</v>
      </c>
      <c r="V125" s="41">
        <v>0</v>
      </c>
      <c r="W125" s="41">
        <v>0</v>
      </c>
    </row>
    <row r="126" spans="1:23" hidden="1" x14ac:dyDescent="0.25">
      <c r="A126" s="18">
        <v>4585</v>
      </c>
      <c r="B126" s="19">
        <v>6599</v>
      </c>
      <c r="C126" s="19" t="s">
        <v>240</v>
      </c>
      <c r="D126" s="19" t="s">
        <v>241</v>
      </c>
      <c r="E126" s="19" t="s">
        <v>9</v>
      </c>
      <c r="F126" s="19" t="s">
        <v>10</v>
      </c>
      <c r="G126" s="20" t="str">
        <f>IF(LEN(Table12_52_034[[#This Row],[Ledger Code]])&gt;3,"AR"&amp;Table12_52_034[[#This Row],[Ledger Code]],"TBC")</f>
        <v>AR6599</v>
      </c>
      <c r="H126" s="20"/>
      <c r="I126" s="20"/>
      <c r="J126" s="20"/>
      <c r="K126" s="20"/>
      <c r="L126" s="20"/>
      <c r="M126" s="20"/>
      <c r="N126" s="20"/>
      <c r="O126" s="20"/>
      <c r="P126" s="41">
        <v>0</v>
      </c>
      <c r="Q126" s="41">
        <v>625.64</v>
      </c>
      <c r="R126" s="41">
        <v>390.88000000000011</v>
      </c>
      <c r="S126" s="41">
        <v>-9.0949470177292824E-13</v>
      </c>
      <c r="T126" s="41">
        <v>989.05</v>
      </c>
      <c r="U126" s="41">
        <v>-1110.3999999999996</v>
      </c>
      <c r="V126" s="41">
        <v>509.95000000000005</v>
      </c>
      <c r="W126" s="41">
        <v>515.63</v>
      </c>
    </row>
    <row r="127" spans="1:23" hidden="1" x14ac:dyDescent="0.25">
      <c r="A127" s="18">
        <v>4752</v>
      </c>
      <c r="B127" s="19">
        <v>7665</v>
      </c>
      <c r="C127" s="19" t="s">
        <v>242</v>
      </c>
      <c r="D127" s="19" t="s">
        <v>243</v>
      </c>
      <c r="E127" s="19" t="s">
        <v>220</v>
      </c>
      <c r="F127" s="19" t="s">
        <v>244</v>
      </c>
      <c r="G127" s="20" t="str">
        <f>IF(LEN(Table12_52_034[[#This Row],[Ledger Code]])&gt;3,"AR"&amp;Table12_52_034[[#This Row],[Ledger Code]],"TBC")</f>
        <v>AR7665</v>
      </c>
      <c r="H127" s="20"/>
      <c r="I127" s="20"/>
      <c r="J127" s="20"/>
      <c r="K127" s="20"/>
      <c r="L127" s="20"/>
      <c r="M127" s="20"/>
      <c r="N127" s="20"/>
      <c r="O127" s="20"/>
      <c r="P127" s="41">
        <v>0</v>
      </c>
      <c r="Q127" s="41">
        <v>7284.23</v>
      </c>
      <c r="R127" s="41">
        <v>5782.66</v>
      </c>
      <c r="S127" s="41">
        <v>-1409.5</v>
      </c>
      <c r="T127" s="41">
        <v>4446.8000000000011</v>
      </c>
      <c r="U127" s="41">
        <v>4.5474735088646412E-13</v>
      </c>
      <c r="V127" s="41">
        <v>3957.7700000000004</v>
      </c>
      <c r="W127" s="41">
        <v>7177.92</v>
      </c>
    </row>
    <row r="128" spans="1:23" hidden="1" x14ac:dyDescent="0.25">
      <c r="A128" s="18">
        <v>4770</v>
      </c>
      <c r="B128" s="19">
        <v>7698</v>
      </c>
      <c r="C128" s="19" t="s">
        <v>245</v>
      </c>
      <c r="D128" s="19" t="s">
        <v>246</v>
      </c>
      <c r="E128" s="19" t="s">
        <v>220</v>
      </c>
      <c r="F128" s="19" t="s">
        <v>244</v>
      </c>
      <c r="G128" s="20" t="str">
        <f>IF(LEN(Table12_52_034[[#This Row],[Ledger Code]])&gt;3,"AR"&amp;Table12_52_034[[#This Row],[Ledger Code]],"TBC")</f>
        <v>AR7698</v>
      </c>
      <c r="H128" s="20"/>
      <c r="I128" s="20"/>
      <c r="J128" s="20"/>
      <c r="K128" s="20"/>
      <c r="L128" s="20"/>
      <c r="M128" s="20"/>
      <c r="N128" s="20"/>
      <c r="O128" s="20"/>
      <c r="P128" s="41">
        <v>464.13</v>
      </c>
      <c r="Q128" s="41">
        <v>1155.42</v>
      </c>
      <c r="R128" s="41">
        <v>0</v>
      </c>
      <c r="S128" s="41">
        <v>454.61</v>
      </c>
      <c r="T128" s="41">
        <v>790.48</v>
      </c>
      <c r="U128" s="41">
        <v>232.82</v>
      </c>
      <c r="V128" s="41">
        <v>8.5265128291212022E-14</v>
      </c>
      <c r="W128" s="41">
        <v>236.18000000000006</v>
      </c>
    </row>
    <row r="129" spans="1:23" hidden="1" x14ac:dyDescent="0.25">
      <c r="A129" s="18">
        <v>4801</v>
      </c>
      <c r="B129" s="19">
        <v>7829</v>
      </c>
      <c r="C129" s="19" t="s">
        <v>247</v>
      </c>
      <c r="D129" s="19" t="s">
        <v>248</v>
      </c>
      <c r="E129" s="19" t="s">
        <v>220</v>
      </c>
      <c r="F129" s="19" t="s">
        <v>244</v>
      </c>
      <c r="G129" s="20" t="str">
        <f>IF(LEN(Table12_52_034[[#This Row],[Ledger Code]])&gt;3,"AR"&amp;Table12_52_034[[#This Row],[Ledger Code]],"TBC")</f>
        <v>AR7829</v>
      </c>
      <c r="H129" s="20"/>
      <c r="I129" s="20"/>
      <c r="J129" s="20"/>
      <c r="K129" s="20"/>
      <c r="L129" s="20"/>
      <c r="M129" s="20"/>
      <c r="N129" s="20"/>
      <c r="O129" s="20"/>
      <c r="P129" s="41">
        <v>0</v>
      </c>
      <c r="Q129" s="41">
        <v>0</v>
      </c>
      <c r="R129" s="41">
        <v>0</v>
      </c>
      <c r="S129" s="41">
        <v>0</v>
      </c>
      <c r="T129" s="41">
        <v>0</v>
      </c>
      <c r="U129" s="41">
        <v>0</v>
      </c>
      <c r="V129" s="41">
        <v>0</v>
      </c>
      <c r="W129" s="41">
        <v>0</v>
      </c>
    </row>
    <row r="130" spans="1:23" hidden="1" x14ac:dyDescent="0.25">
      <c r="A130" s="18">
        <v>4925</v>
      </c>
      <c r="B130" s="19">
        <v>4233</v>
      </c>
      <c r="C130" s="19" t="s">
        <v>249</v>
      </c>
      <c r="D130" s="19" t="s">
        <v>250</v>
      </c>
      <c r="E130" s="19" t="s">
        <v>57</v>
      </c>
      <c r="F130" s="19" t="s">
        <v>233</v>
      </c>
      <c r="G130" s="20" t="str">
        <f>IF(LEN(Table12_52_034[[#This Row],[Ledger Code]])&gt;3,"AR"&amp;Table12_52_034[[#This Row],[Ledger Code]],"TBC")</f>
        <v>AR4233</v>
      </c>
      <c r="H130" s="20"/>
      <c r="I130" s="20"/>
      <c r="J130" s="20"/>
      <c r="K130" s="20"/>
      <c r="L130" s="20"/>
      <c r="M130" s="20"/>
      <c r="N130" s="20"/>
      <c r="O130" s="20"/>
      <c r="P130" s="41">
        <v>0</v>
      </c>
      <c r="Q130" s="41">
        <v>0</v>
      </c>
      <c r="R130" s="41">
        <v>1.1368683772161603E-13</v>
      </c>
      <c r="S130" s="41">
        <v>1983.6799999999996</v>
      </c>
      <c r="T130" s="41">
        <v>0</v>
      </c>
      <c r="U130" s="41">
        <v>1643.7699999999998</v>
      </c>
      <c r="V130" s="41">
        <v>-1.1368683772161603E-13</v>
      </c>
      <c r="W130" s="41">
        <v>982.47</v>
      </c>
    </row>
    <row r="131" spans="1:23" hidden="1" x14ac:dyDescent="0.25">
      <c r="A131" s="18">
        <v>4951</v>
      </c>
      <c r="B131" s="19">
        <v>4287</v>
      </c>
      <c r="C131" s="19" t="s">
        <v>251</v>
      </c>
      <c r="D131" s="19" t="s">
        <v>252</v>
      </c>
      <c r="E131" s="19" t="s">
        <v>57</v>
      </c>
      <c r="F131" s="19" t="s">
        <v>233</v>
      </c>
      <c r="G131" s="20" t="str">
        <f>IF(LEN(Table12_52_034[[#This Row],[Ledger Code]])&gt;3,"AR"&amp;Table12_52_034[[#This Row],[Ledger Code]],"TBC")</f>
        <v>AR4287</v>
      </c>
      <c r="H131" s="20"/>
      <c r="I131" s="20"/>
      <c r="J131" s="20"/>
      <c r="K131" s="20"/>
      <c r="L131" s="20"/>
      <c r="M131" s="20"/>
      <c r="N131" s="20"/>
      <c r="O131" s="20"/>
      <c r="P131" s="41">
        <v>0</v>
      </c>
      <c r="Q131" s="41">
        <v>0</v>
      </c>
      <c r="R131" s="41">
        <v>0</v>
      </c>
      <c r="S131" s="41">
        <v>0</v>
      </c>
      <c r="T131" s="41">
        <v>0</v>
      </c>
      <c r="U131" s="41">
        <v>0</v>
      </c>
      <c r="V131" s="41">
        <v>0</v>
      </c>
      <c r="W131" s="41">
        <v>0</v>
      </c>
    </row>
    <row r="132" spans="1:23" hidden="1" x14ac:dyDescent="0.25">
      <c r="A132" s="18">
        <v>4966</v>
      </c>
      <c r="B132" s="19">
        <v>4301</v>
      </c>
      <c r="C132" s="19" t="s">
        <v>253</v>
      </c>
      <c r="D132" s="19" t="s">
        <v>254</v>
      </c>
      <c r="E132" s="19" t="s">
        <v>57</v>
      </c>
      <c r="F132" s="19" t="s">
        <v>233</v>
      </c>
      <c r="G132" s="20" t="str">
        <f>IF(LEN(Table12_52_034[[#This Row],[Ledger Code]])&gt;3,"AR"&amp;Table12_52_034[[#This Row],[Ledger Code]],"TBC")</f>
        <v>AR4301</v>
      </c>
      <c r="H132" s="20"/>
      <c r="I132" s="20"/>
      <c r="J132" s="20"/>
      <c r="K132" s="20"/>
      <c r="L132" s="20"/>
      <c r="M132" s="20"/>
      <c r="N132" s="20"/>
      <c r="O132" s="20"/>
      <c r="P132" s="41">
        <v>0</v>
      </c>
      <c r="Q132" s="41">
        <v>532.98</v>
      </c>
      <c r="R132" s="41">
        <v>594.53</v>
      </c>
      <c r="S132" s="41">
        <v>1236.94</v>
      </c>
      <c r="T132" s="41">
        <v>0</v>
      </c>
      <c r="U132" s="41">
        <v>740.26</v>
      </c>
      <c r="V132" s="41">
        <v>517.05999999999995</v>
      </c>
      <c r="W132" s="41">
        <v>988.97</v>
      </c>
    </row>
    <row r="133" spans="1:23" hidden="1" x14ac:dyDescent="0.25">
      <c r="A133" s="18">
        <v>4979</v>
      </c>
      <c r="B133" s="19">
        <v>4325</v>
      </c>
      <c r="C133" s="19" t="s">
        <v>255</v>
      </c>
      <c r="D133" s="19" t="s">
        <v>256</v>
      </c>
      <c r="E133" s="19" t="s">
        <v>57</v>
      </c>
      <c r="F133" s="19" t="s">
        <v>233</v>
      </c>
      <c r="G133" s="20" t="str">
        <f>IF(LEN(Table12_52_034[[#This Row],[Ledger Code]])&gt;3,"AR"&amp;Table12_52_034[[#This Row],[Ledger Code]],"TBC")</f>
        <v>AR4325</v>
      </c>
      <c r="H133" s="20"/>
      <c r="I133" s="20"/>
      <c r="J133" s="20"/>
      <c r="K133" s="20"/>
      <c r="L133" s="20"/>
      <c r="M133" s="20"/>
      <c r="N133" s="20"/>
      <c r="O133" s="20"/>
      <c r="P133" s="41">
        <v>0</v>
      </c>
      <c r="Q133" s="41">
        <v>1674.51</v>
      </c>
      <c r="R133" s="41">
        <v>1738.1</v>
      </c>
      <c r="S133" s="41">
        <v>1781.96</v>
      </c>
      <c r="T133" s="41">
        <v>1712.55</v>
      </c>
      <c r="U133" s="41">
        <v>1912.9099999999999</v>
      </c>
      <c r="V133" s="41">
        <v>2000.31</v>
      </c>
      <c r="W133" s="41">
        <v>0</v>
      </c>
    </row>
    <row r="134" spans="1:23" hidden="1" x14ac:dyDescent="0.25">
      <c r="A134" s="18">
        <v>4991</v>
      </c>
      <c r="B134" s="19">
        <v>4353</v>
      </c>
      <c r="C134" s="19" t="s">
        <v>257</v>
      </c>
      <c r="D134" s="19" t="s">
        <v>258</v>
      </c>
      <c r="E134" s="19" t="s">
        <v>57</v>
      </c>
      <c r="F134" s="19" t="s">
        <v>233</v>
      </c>
      <c r="G134" s="20" t="str">
        <f>IF(LEN(Table12_52_034[[#This Row],[Ledger Code]])&gt;3,"AR"&amp;Table12_52_034[[#This Row],[Ledger Code]],"TBC")</f>
        <v>AR4353</v>
      </c>
      <c r="H134" s="20"/>
      <c r="I134" s="20"/>
      <c r="J134" s="20"/>
      <c r="K134" s="20"/>
      <c r="L134" s="20"/>
      <c r="M134" s="20"/>
      <c r="N134" s="20"/>
      <c r="O134" s="20"/>
      <c r="P134" s="41">
        <v>0</v>
      </c>
      <c r="Q134" s="41">
        <v>0</v>
      </c>
      <c r="R134" s="41">
        <v>0</v>
      </c>
      <c r="S134" s="41">
        <v>0</v>
      </c>
      <c r="T134" s="41">
        <v>0</v>
      </c>
      <c r="U134" s="41">
        <v>0</v>
      </c>
      <c r="V134" s="41">
        <v>0</v>
      </c>
      <c r="W134" s="41">
        <v>0</v>
      </c>
    </row>
    <row r="135" spans="1:23" hidden="1" x14ac:dyDescent="0.25">
      <c r="A135" s="18">
        <v>5135</v>
      </c>
      <c r="B135" s="19">
        <v>8656</v>
      </c>
      <c r="C135" s="19" t="s">
        <v>259</v>
      </c>
      <c r="D135" s="19" t="s">
        <v>260</v>
      </c>
      <c r="E135" s="19" t="s">
        <v>26</v>
      </c>
      <c r="F135" s="19" t="s">
        <v>175</v>
      </c>
      <c r="G135" s="20" t="str">
        <f>IF(LEN(Table12_52_034[[#This Row],[Ledger Code]])&gt;3,"AR"&amp;Table12_52_034[[#This Row],[Ledger Code]],"TBC")</f>
        <v>AR8656</v>
      </c>
      <c r="H135" s="20"/>
      <c r="I135" s="20"/>
      <c r="J135" s="20"/>
      <c r="K135" s="20"/>
      <c r="L135" s="20"/>
      <c r="M135" s="20"/>
      <c r="N135" s="20"/>
      <c r="O135" s="20"/>
      <c r="P135" s="41">
        <v>291.32000000000005</v>
      </c>
      <c r="Q135" s="41">
        <v>2.2737367544323206E-13</v>
      </c>
      <c r="R135" s="41">
        <v>3297.7099999999991</v>
      </c>
      <c r="S135" s="41">
        <v>2161.7700000000004</v>
      </c>
      <c r="T135" s="41">
        <v>857.35</v>
      </c>
      <c r="U135" s="41">
        <v>1695.43</v>
      </c>
      <c r="V135" s="41">
        <v>914.26</v>
      </c>
      <c r="W135" s="41">
        <v>0</v>
      </c>
    </row>
    <row r="136" spans="1:23" hidden="1" x14ac:dyDescent="0.25">
      <c r="A136" s="18">
        <v>5150</v>
      </c>
      <c r="B136" s="19">
        <v>8653</v>
      </c>
      <c r="C136" s="19" t="s">
        <v>261</v>
      </c>
      <c r="D136" s="19" t="s">
        <v>262</v>
      </c>
      <c r="E136" s="19" t="s">
        <v>26</v>
      </c>
      <c r="F136" s="19" t="s">
        <v>175</v>
      </c>
      <c r="G136" s="20" t="str">
        <f>IF(LEN(Table12_52_034[[#This Row],[Ledger Code]])&gt;3,"AR"&amp;Table12_52_034[[#This Row],[Ledger Code]],"TBC")</f>
        <v>AR8653</v>
      </c>
      <c r="H136" s="20"/>
      <c r="I136" s="20"/>
      <c r="J136" s="20"/>
      <c r="K136" s="20"/>
      <c r="L136" s="20"/>
      <c r="M136" s="20"/>
      <c r="N136" s="20"/>
      <c r="O136" s="20"/>
      <c r="P136" s="41">
        <v>0</v>
      </c>
      <c r="Q136" s="41">
        <v>0</v>
      </c>
      <c r="R136" s="41">
        <v>-7.2775119264179011E-14</v>
      </c>
      <c r="S136" s="41">
        <v>-1.1368683772161603E-13</v>
      </c>
      <c r="T136" s="41">
        <v>0</v>
      </c>
      <c r="U136" s="41">
        <v>0</v>
      </c>
      <c r="V136" s="41">
        <v>0</v>
      </c>
      <c r="W136" s="41">
        <v>563.32999999999993</v>
      </c>
    </row>
    <row r="137" spans="1:23" hidden="1" x14ac:dyDescent="0.25">
      <c r="A137" s="18">
        <v>5151</v>
      </c>
      <c r="B137" s="19">
        <v>8667</v>
      </c>
      <c r="C137" s="19" t="s">
        <v>263</v>
      </c>
      <c r="D137" s="19" t="s">
        <v>264</v>
      </c>
      <c r="E137" s="19" t="s">
        <v>26</v>
      </c>
      <c r="F137" s="19" t="s">
        <v>175</v>
      </c>
      <c r="G137" s="20" t="str">
        <f>IF(LEN(Table12_52_034[[#This Row],[Ledger Code]])&gt;3,"AR"&amp;Table12_52_034[[#This Row],[Ledger Code]],"TBC")</f>
        <v>AR8667</v>
      </c>
      <c r="H137" s="20"/>
      <c r="I137" s="20"/>
      <c r="J137" s="20"/>
      <c r="K137" s="20"/>
      <c r="L137" s="20"/>
      <c r="M137" s="20"/>
      <c r="N137" s="20"/>
      <c r="O137" s="20"/>
      <c r="P137" s="41">
        <v>0</v>
      </c>
      <c r="Q137" s="41">
        <v>0</v>
      </c>
      <c r="R137" s="41">
        <v>0</v>
      </c>
      <c r="S137" s="41">
        <v>0</v>
      </c>
      <c r="T137" s="41">
        <v>0</v>
      </c>
      <c r="U137" s="41">
        <v>0</v>
      </c>
      <c r="V137" s="41">
        <v>0</v>
      </c>
      <c r="W137" s="41">
        <v>0</v>
      </c>
    </row>
    <row r="138" spans="1:23" hidden="1" x14ac:dyDescent="0.25">
      <c r="A138" s="18">
        <v>5237</v>
      </c>
      <c r="B138" s="19">
        <v>8756</v>
      </c>
      <c r="C138" s="19" t="s">
        <v>265</v>
      </c>
      <c r="D138" s="19" t="s">
        <v>266</v>
      </c>
      <c r="E138" s="19" t="s">
        <v>26</v>
      </c>
      <c r="F138" s="19" t="s">
        <v>175</v>
      </c>
      <c r="G138" s="20" t="str">
        <f>IF(LEN(Table12_52_034[[#This Row],[Ledger Code]])&gt;3,"AR"&amp;Table12_52_034[[#This Row],[Ledger Code]],"TBC")</f>
        <v>AR8756</v>
      </c>
      <c r="H138" s="20"/>
      <c r="I138" s="20"/>
      <c r="J138" s="20"/>
      <c r="K138" s="20"/>
      <c r="L138" s="20"/>
      <c r="M138" s="20"/>
      <c r="N138" s="20"/>
      <c r="O138" s="20"/>
      <c r="P138" s="41">
        <v>0</v>
      </c>
      <c r="Q138" s="41">
        <v>1683.1099999999997</v>
      </c>
      <c r="R138" s="41">
        <v>0</v>
      </c>
      <c r="S138" s="41">
        <v>5758.3500000000022</v>
      </c>
      <c r="T138" s="41">
        <v>0</v>
      </c>
      <c r="U138" s="41">
        <v>2882.1799999999976</v>
      </c>
      <c r="V138" s="41">
        <v>2652.2900000000009</v>
      </c>
      <c r="W138" s="41">
        <v>2562.7999999999956</v>
      </c>
    </row>
    <row r="139" spans="1:23" hidden="1" x14ac:dyDescent="0.25">
      <c r="A139" s="18">
        <v>5241</v>
      </c>
      <c r="B139" s="19">
        <v>8759</v>
      </c>
      <c r="C139" s="19" t="s">
        <v>267</v>
      </c>
      <c r="D139" s="19" t="s">
        <v>268</v>
      </c>
      <c r="E139" s="19" t="s">
        <v>26</v>
      </c>
      <c r="F139" s="19" t="s">
        <v>175</v>
      </c>
      <c r="G139" s="20" t="str">
        <f>IF(LEN(Table12_52_034[[#This Row],[Ledger Code]])&gt;3,"AR"&amp;Table12_52_034[[#This Row],[Ledger Code]],"TBC")</f>
        <v>AR8759</v>
      </c>
      <c r="H139" s="20"/>
      <c r="I139" s="20"/>
      <c r="J139" s="20"/>
      <c r="K139" s="20"/>
      <c r="L139" s="20"/>
      <c r="M139" s="20"/>
      <c r="N139" s="20"/>
      <c r="O139" s="20"/>
      <c r="P139" s="41">
        <v>0</v>
      </c>
      <c r="Q139" s="41">
        <v>28708.05</v>
      </c>
      <c r="R139" s="41">
        <v>34222.73000000001</v>
      </c>
      <c r="S139" s="41">
        <v>38740.050000000017</v>
      </c>
      <c r="T139" s="41">
        <v>8902.7700000000023</v>
      </c>
      <c r="U139" s="41">
        <v>70633.39</v>
      </c>
      <c r="V139" s="41">
        <v>30511.37999999999</v>
      </c>
      <c r="W139" s="41">
        <v>12937.210000000001</v>
      </c>
    </row>
    <row r="140" spans="1:23" hidden="1" x14ac:dyDescent="0.25">
      <c r="A140" s="18">
        <v>5282</v>
      </c>
      <c r="B140" s="19">
        <v>8886</v>
      </c>
      <c r="C140" s="19" t="s">
        <v>269</v>
      </c>
      <c r="D140" s="19" t="s">
        <v>270</v>
      </c>
      <c r="E140" s="19" t="s">
        <v>26</v>
      </c>
      <c r="F140" s="19" t="s">
        <v>27</v>
      </c>
      <c r="G140" s="20" t="str">
        <f>IF(LEN(Table12_52_034[[#This Row],[Ledger Code]])&gt;3,"AR"&amp;Table12_52_034[[#This Row],[Ledger Code]],"TBC")</f>
        <v>AR8886</v>
      </c>
      <c r="H140" s="20"/>
      <c r="I140" s="20"/>
      <c r="J140" s="20"/>
      <c r="K140" s="20"/>
      <c r="L140" s="20"/>
      <c r="M140" s="20"/>
      <c r="N140" s="20"/>
      <c r="O140" s="20"/>
      <c r="P140" s="41">
        <v>0</v>
      </c>
      <c r="Q140" s="41">
        <v>946.15000000000009</v>
      </c>
      <c r="R140" s="41">
        <v>2127.0500000000002</v>
      </c>
      <c r="S140" s="41">
        <v>2021.98</v>
      </c>
      <c r="T140" s="41">
        <v>2376.04</v>
      </c>
      <c r="U140" s="41">
        <v>1218.45</v>
      </c>
      <c r="V140" s="41">
        <v>1220.4699999999998</v>
      </c>
      <c r="W140" s="41">
        <v>755.39999999999975</v>
      </c>
    </row>
    <row r="141" spans="1:23" hidden="1" x14ac:dyDescent="0.25">
      <c r="A141" s="18">
        <v>5350</v>
      </c>
      <c r="B141" s="19">
        <v>8881</v>
      </c>
      <c r="C141" s="19" t="s">
        <v>271</v>
      </c>
      <c r="D141" s="19" t="s">
        <v>272</v>
      </c>
      <c r="E141" s="19" t="s">
        <v>26</v>
      </c>
      <c r="F141" s="19" t="s">
        <v>27</v>
      </c>
      <c r="G141" s="20" t="str">
        <f>IF(LEN(Table12_52_034[[#This Row],[Ledger Code]])&gt;3,"AR"&amp;Table12_52_034[[#This Row],[Ledger Code]],"TBC")</f>
        <v>AR8881</v>
      </c>
      <c r="H141" s="20"/>
      <c r="I141" s="20"/>
      <c r="J141" s="20"/>
      <c r="K141" s="20"/>
      <c r="L141" s="20"/>
      <c r="M141" s="20"/>
      <c r="N141" s="20"/>
      <c r="O141" s="20"/>
      <c r="P141" s="41">
        <v>0</v>
      </c>
      <c r="Q141" s="41">
        <v>4875.5199999999986</v>
      </c>
      <c r="R141" s="41">
        <v>3775.5099999999989</v>
      </c>
      <c r="S141" s="41">
        <v>5258.7</v>
      </c>
      <c r="T141" s="41">
        <v>4168.95</v>
      </c>
      <c r="U141" s="41">
        <v>4846.5400000000027</v>
      </c>
      <c r="V141" s="41">
        <v>2641.2299999999996</v>
      </c>
      <c r="W141" s="41">
        <v>3814.0300000000007</v>
      </c>
    </row>
    <row r="142" spans="1:23" hidden="1" x14ac:dyDescent="0.25">
      <c r="A142" s="18">
        <v>5356</v>
      </c>
      <c r="B142" s="19">
        <v>8888</v>
      </c>
      <c r="C142" s="19" t="s">
        <v>273</v>
      </c>
      <c r="D142" s="19" t="s">
        <v>274</v>
      </c>
      <c r="E142" s="19" t="s">
        <v>26</v>
      </c>
      <c r="F142" s="19" t="s">
        <v>27</v>
      </c>
      <c r="G142" s="20" t="str">
        <f>IF(LEN(Table12_52_034[[#This Row],[Ledger Code]])&gt;3,"AR"&amp;Table12_52_034[[#This Row],[Ledger Code]],"TBC")</f>
        <v>AR8888</v>
      </c>
      <c r="H142" s="20"/>
      <c r="I142" s="20"/>
      <c r="J142" s="20"/>
      <c r="K142" s="20"/>
      <c r="L142" s="20"/>
      <c r="M142" s="20"/>
      <c r="N142" s="20"/>
      <c r="O142" s="20"/>
      <c r="P142" s="41">
        <v>0</v>
      </c>
      <c r="Q142" s="41">
        <v>1.1368683772161603E-13</v>
      </c>
      <c r="R142" s="41">
        <v>0</v>
      </c>
      <c r="S142" s="41">
        <v>315.40999999999985</v>
      </c>
      <c r="T142" s="41">
        <v>371.44999999999993</v>
      </c>
      <c r="U142" s="41">
        <v>827.7700000000001</v>
      </c>
      <c r="V142" s="41">
        <v>0</v>
      </c>
      <c r="W142" s="41">
        <v>466.40999999999997</v>
      </c>
    </row>
    <row r="143" spans="1:23" hidden="1" x14ac:dyDescent="0.25">
      <c r="A143" s="18">
        <v>5385</v>
      </c>
      <c r="B143" s="19">
        <v>8852</v>
      </c>
      <c r="C143" s="19" t="s">
        <v>44</v>
      </c>
      <c r="D143" s="19" t="s">
        <v>275</v>
      </c>
      <c r="E143" s="19" t="s">
        <v>26</v>
      </c>
      <c r="F143" s="19" t="s">
        <v>27</v>
      </c>
      <c r="G143" s="20" t="str">
        <f>IF(LEN(Table12_52_034[[#This Row],[Ledger Code]])&gt;3,"AR"&amp;Table12_52_034[[#This Row],[Ledger Code]],"TBC")</f>
        <v>AR8852</v>
      </c>
      <c r="H143" s="20"/>
      <c r="I143" s="20"/>
      <c r="J143" s="20"/>
      <c r="K143" s="20"/>
      <c r="L143" s="20"/>
      <c r="M143" s="20"/>
      <c r="N143" s="20"/>
      <c r="O143" s="20"/>
      <c r="P143" s="41">
        <v>0</v>
      </c>
      <c r="Q143" s="41">
        <v>1.1368683772161603E-13</v>
      </c>
      <c r="R143" s="41">
        <v>1688.88</v>
      </c>
      <c r="S143" s="41">
        <v>1097.0199999999995</v>
      </c>
      <c r="T143" s="41">
        <v>882.64999999999986</v>
      </c>
      <c r="U143" s="41">
        <v>-1.1368683772161603E-13</v>
      </c>
      <c r="V143" s="41">
        <v>0</v>
      </c>
      <c r="W143" s="41">
        <v>849.3</v>
      </c>
    </row>
    <row r="144" spans="1:23" hidden="1" x14ac:dyDescent="0.25">
      <c r="A144" s="18">
        <v>5461</v>
      </c>
      <c r="B144" s="19">
        <v>5461</v>
      </c>
      <c r="C144" s="19" t="s">
        <v>331</v>
      </c>
      <c r="D144" s="19">
        <v>0</v>
      </c>
      <c r="E144" s="19" t="s">
        <v>57</v>
      </c>
      <c r="F144" s="19" t="s">
        <v>58</v>
      </c>
      <c r="G144" s="20" t="str">
        <f>IF(LEN(Table12_52_034[[#This Row],[Ledger Code]])&gt;3,"AR"&amp;Table12_52_034[[#This Row],[Ledger Code]],"TBC")</f>
        <v>AR5461</v>
      </c>
      <c r="H144" s="20"/>
      <c r="I144" s="20"/>
      <c r="J144" s="20"/>
      <c r="K144" s="20"/>
      <c r="L144" s="20"/>
      <c r="M144" s="20"/>
      <c r="N144" s="20"/>
      <c r="O144" s="20"/>
      <c r="P144" s="41">
        <v>0</v>
      </c>
      <c r="Q144" s="41">
        <v>0</v>
      </c>
      <c r="R144" s="41">
        <v>0</v>
      </c>
      <c r="S144" s="41">
        <v>0</v>
      </c>
      <c r="T144" s="41">
        <v>0</v>
      </c>
      <c r="U144" s="41">
        <v>0</v>
      </c>
      <c r="V144" s="41">
        <v>0</v>
      </c>
      <c r="W144" s="41">
        <v>0</v>
      </c>
    </row>
    <row r="145" spans="1:23" hidden="1" x14ac:dyDescent="0.25">
      <c r="A145" s="18">
        <v>5579</v>
      </c>
      <c r="B145" s="19">
        <v>8675</v>
      </c>
      <c r="C145" s="19" t="s">
        <v>276</v>
      </c>
      <c r="D145" s="19" t="s">
        <v>277</v>
      </c>
      <c r="E145" s="19" t="s">
        <v>26</v>
      </c>
      <c r="F145" s="19" t="s">
        <v>278</v>
      </c>
      <c r="G145" s="20" t="str">
        <f>IF(LEN(Table12_52_034[[#This Row],[Ledger Code]])&gt;3,"AR"&amp;Table12_52_034[[#This Row],[Ledger Code]],"TBC")</f>
        <v>AR8675</v>
      </c>
      <c r="H145" s="20"/>
      <c r="I145" s="20"/>
      <c r="J145" s="20"/>
      <c r="K145" s="20"/>
      <c r="L145" s="20"/>
      <c r="M145" s="20"/>
      <c r="N145" s="20"/>
      <c r="O145" s="20"/>
      <c r="P145" s="41">
        <v>0</v>
      </c>
      <c r="Q145" s="41">
        <v>1385.9300000000003</v>
      </c>
      <c r="R145" s="41">
        <v>500.70000000000073</v>
      </c>
      <c r="S145" s="41">
        <v>5267.0399999999991</v>
      </c>
      <c r="T145" s="41">
        <v>0</v>
      </c>
      <c r="U145" s="41">
        <v>5849.9999999999982</v>
      </c>
      <c r="V145" s="41">
        <v>0</v>
      </c>
      <c r="W145" s="41">
        <v>4957.0600000000004</v>
      </c>
    </row>
    <row r="146" spans="1:23" hidden="1" x14ac:dyDescent="0.25">
      <c r="A146" s="18">
        <v>5584</v>
      </c>
      <c r="B146" s="19">
        <v>9061</v>
      </c>
      <c r="C146" s="19" t="s">
        <v>279</v>
      </c>
      <c r="D146" s="19" t="s">
        <v>280</v>
      </c>
      <c r="E146" s="19" t="s">
        <v>26</v>
      </c>
      <c r="F146" s="19" t="s">
        <v>278</v>
      </c>
      <c r="G146" s="20" t="str">
        <f>IF(LEN(Table12_52_034[[#This Row],[Ledger Code]])&gt;3,"AR"&amp;Table12_52_034[[#This Row],[Ledger Code]],"TBC")</f>
        <v>AR9061</v>
      </c>
      <c r="H146" s="20"/>
      <c r="I146" s="20"/>
      <c r="J146" s="20"/>
      <c r="K146" s="20"/>
      <c r="L146" s="20"/>
      <c r="M146" s="20"/>
      <c r="N146" s="20"/>
      <c r="O146" s="20"/>
      <c r="P146" s="41">
        <v>0</v>
      </c>
      <c r="Q146" s="41">
        <v>826.73</v>
      </c>
      <c r="R146" s="41">
        <v>0</v>
      </c>
      <c r="S146" s="41">
        <v>0</v>
      </c>
      <c r="T146" s="41">
        <v>2394.1800000000003</v>
      </c>
      <c r="U146" s="41">
        <v>0</v>
      </c>
      <c r="V146" s="41">
        <v>0</v>
      </c>
      <c r="W146" s="41">
        <v>270.76</v>
      </c>
    </row>
    <row r="147" spans="1:23" hidden="1" x14ac:dyDescent="0.25">
      <c r="A147" s="18">
        <v>5608</v>
      </c>
      <c r="B147" s="19">
        <v>9083</v>
      </c>
      <c r="C147" s="19" t="s">
        <v>281</v>
      </c>
      <c r="D147" s="19" t="s">
        <v>282</v>
      </c>
      <c r="E147" s="19" t="s">
        <v>26</v>
      </c>
      <c r="F147" s="19" t="s">
        <v>278</v>
      </c>
      <c r="G147" s="20" t="str">
        <f>IF(LEN(Table12_52_034[[#This Row],[Ledger Code]])&gt;3,"AR"&amp;Table12_52_034[[#This Row],[Ledger Code]],"TBC")</f>
        <v>AR9083</v>
      </c>
      <c r="H147" s="20"/>
      <c r="I147" s="20"/>
      <c r="J147" s="20"/>
      <c r="K147" s="20"/>
      <c r="L147" s="20"/>
      <c r="M147" s="20"/>
      <c r="N147" s="20"/>
      <c r="O147" s="20"/>
      <c r="P147" s="41">
        <v>1.1368683772161603E-13</v>
      </c>
      <c r="Q147" s="41">
        <v>3430.1</v>
      </c>
      <c r="R147" s="41">
        <v>2291.7000000000003</v>
      </c>
      <c r="S147" s="41">
        <v>4.5474735088646412E-13</v>
      </c>
      <c r="T147" s="41">
        <v>3583.0800000000017</v>
      </c>
      <c r="U147" s="41">
        <v>101.349999999999</v>
      </c>
      <c r="V147" s="41">
        <v>4445.3599999999997</v>
      </c>
      <c r="W147" s="41">
        <v>0</v>
      </c>
    </row>
    <row r="148" spans="1:23" hidden="1" x14ac:dyDescent="0.25">
      <c r="A148" s="18">
        <v>5611</v>
      </c>
      <c r="B148" s="19">
        <v>9086</v>
      </c>
      <c r="C148" s="19" t="s">
        <v>283</v>
      </c>
      <c r="D148" s="19" t="s">
        <v>284</v>
      </c>
      <c r="E148" s="19" t="s">
        <v>26</v>
      </c>
      <c r="F148" s="19" t="s">
        <v>278</v>
      </c>
      <c r="G148" s="20" t="str">
        <f>IF(LEN(Table12_52_034[[#This Row],[Ledger Code]])&gt;3,"AR"&amp;Table12_52_034[[#This Row],[Ledger Code]],"TBC")</f>
        <v>AR9086</v>
      </c>
      <c r="H148" s="20"/>
      <c r="I148" s="20"/>
      <c r="J148" s="20"/>
      <c r="K148" s="20"/>
      <c r="L148" s="20"/>
      <c r="M148" s="20"/>
      <c r="N148" s="20"/>
      <c r="O148" s="20"/>
      <c r="P148" s="41">
        <v>0</v>
      </c>
      <c r="Q148" s="41">
        <v>140.53</v>
      </c>
      <c r="R148" s="41">
        <v>124.55000000000001</v>
      </c>
      <c r="S148" s="41">
        <v>0</v>
      </c>
      <c r="T148" s="41">
        <v>343.38999999999993</v>
      </c>
      <c r="U148" s="41">
        <v>154.84</v>
      </c>
      <c r="V148" s="41">
        <v>152.59</v>
      </c>
      <c r="W148" s="41">
        <v>55.29</v>
      </c>
    </row>
    <row r="149" spans="1:23" hidden="1" x14ac:dyDescent="0.25">
      <c r="A149" s="18">
        <v>5659</v>
      </c>
      <c r="B149" s="19">
        <v>9000</v>
      </c>
      <c r="C149" s="19" t="s">
        <v>285</v>
      </c>
      <c r="D149" s="19" t="s">
        <v>286</v>
      </c>
      <c r="E149" s="19" t="s">
        <v>26</v>
      </c>
      <c r="F149" s="19" t="s">
        <v>278</v>
      </c>
      <c r="G149" s="20" t="str">
        <f>IF(LEN(Table12_52_034[[#This Row],[Ledger Code]])&gt;3,"AR"&amp;Table12_52_034[[#This Row],[Ledger Code]],"TBC")</f>
        <v>AR9000</v>
      </c>
      <c r="H149" s="20"/>
      <c r="I149" s="20"/>
      <c r="J149" s="20"/>
      <c r="K149" s="20"/>
      <c r="L149" s="20"/>
      <c r="M149" s="20"/>
      <c r="N149" s="20"/>
      <c r="O149" s="20"/>
      <c r="P149" s="41">
        <v>0</v>
      </c>
      <c r="Q149" s="41">
        <v>2098.96</v>
      </c>
      <c r="R149" s="41">
        <v>-1.1368683772161603E-13</v>
      </c>
      <c r="S149" s="41">
        <v>2993.9399999999996</v>
      </c>
      <c r="T149" s="41">
        <v>0</v>
      </c>
      <c r="U149" s="41">
        <v>2789.4999999999995</v>
      </c>
      <c r="V149" s="41">
        <v>0</v>
      </c>
      <c r="W149" s="41">
        <v>1899.17</v>
      </c>
    </row>
    <row r="150" spans="1:23" hidden="1" x14ac:dyDescent="0.25">
      <c r="A150" s="18">
        <v>5669</v>
      </c>
      <c r="B150" s="19">
        <v>4456</v>
      </c>
      <c r="C150" s="19" t="s">
        <v>287</v>
      </c>
      <c r="D150" s="19" t="s">
        <v>288</v>
      </c>
      <c r="E150" s="19" t="s">
        <v>57</v>
      </c>
      <c r="F150" s="19" t="s">
        <v>233</v>
      </c>
      <c r="G150" s="20" t="str">
        <f>IF(LEN(Table12_52_034[[#This Row],[Ledger Code]])&gt;3,"AR"&amp;Table12_52_034[[#This Row],[Ledger Code]],"TBC")</f>
        <v>AR4456</v>
      </c>
      <c r="H150" s="20"/>
      <c r="I150" s="20"/>
      <c r="J150" s="20"/>
      <c r="K150" s="20"/>
      <c r="L150" s="20"/>
      <c r="M150" s="20"/>
      <c r="N150" s="20"/>
      <c r="O150" s="20"/>
      <c r="P150" s="41">
        <v>2394.87</v>
      </c>
      <c r="Q150" s="41">
        <v>4924.28</v>
      </c>
      <c r="R150" s="41">
        <v>2844.8599999999997</v>
      </c>
      <c r="S150" s="41">
        <v>5478.92</v>
      </c>
      <c r="T150" s="41">
        <v>2.2737367544323206E-13</v>
      </c>
      <c r="U150" s="41">
        <v>6516.6200000000008</v>
      </c>
      <c r="V150" s="41">
        <v>0</v>
      </c>
      <c r="W150" s="41">
        <v>5177.88</v>
      </c>
    </row>
    <row r="151" spans="1:23" hidden="1" x14ac:dyDescent="0.25">
      <c r="A151" s="18">
        <v>5670</v>
      </c>
      <c r="B151" s="19">
        <v>4456</v>
      </c>
      <c r="C151" s="19" t="s">
        <v>289</v>
      </c>
      <c r="D151" s="19" t="s">
        <v>288</v>
      </c>
      <c r="E151" s="19" t="s">
        <v>57</v>
      </c>
      <c r="F151" s="19" t="s">
        <v>233</v>
      </c>
      <c r="G151" s="20" t="str">
        <f>IF(LEN(Table12_52_034[[#This Row],[Ledger Code]])&gt;3,"AR"&amp;Table12_52_034[[#This Row],[Ledger Code]],"TBC")</f>
        <v>AR4456</v>
      </c>
      <c r="H151" s="20"/>
      <c r="I151" s="20"/>
      <c r="J151" s="20"/>
      <c r="K151" s="20"/>
      <c r="L151" s="20"/>
      <c r="M151" s="20"/>
      <c r="N151" s="20"/>
      <c r="O151" s="20"/>
      <c r="P151" s="41">
        <v>2394.87</v>
      </c>
      <c r="Q151" s="41">
        <v>4924.28</v>
      </c>
      <c r="R151" s="41">
        <v>2844.8599999999997</v>
      </c>
      <c r="S151" s="41">
        <v>5478.92</v>
      </c>
      <c r="T151" s="41">
        <v>2.2737367544323206E-13</v>
      </c>
      <c r="U151" s="41">
        <v>6516.6200000000008</v>
      </c>
      <c r="V151" s="41">
        <v>0</v>
      </c>
      <c r="W151" s="41">
        <v>5177.88</v>
      </c>
    </row>
    <row r="152" spans="1:23" hidden="1" x14ac:dyDescent="0.25">
      <c r="A152" s="18">
        <v>5671</v>
      </c>
      <c r="B152" s="19">
        <v>4456</v>
      </c>
      <c r="C152" s="19" t="s">
        <v>290</v>
      </c>
      <c r="D152" s="19" t="s">
        <v>288</v>
      </c>
      <c r="E152" s="19" t="s">
        <v>57</v>
      </c>
      <c r="F152" s="19" t="s">
        <v>233</v>
      </c>
      <c r="G152" s="20" t="str">
        <f>IF(LEN(Table12_52_034[[#This Row],[Ledger Code]])&gt;3,"AR"&amp;Table12_52_034[[#This Row],[Ledger Code]],"TBC")</f>
        <v>AR4456</v>
      </c>
      <c r="H152" s="20"/>
      <c r="I152" s="20"/>
      <c r="J152" s="20"/>
      <c r="K152" s="20"/>
      <c r="L152" s="20"/>
      <c r="M152" s="20"/>
      <c r="N152" s="20"/>
      <c r="O152" s="20"/>
      <c r="P152" s="41">
        <v>2394.87</v>
      </c>
      <c r="Q152" s="41">
        <v>4924.28</v>
      </c>
      <c r="R152" s="41">
        <v>2844.8599999999997</v>
      </c>
      <c r="S152" s="41">
        <v>5478.92</v>
      </c>
      <c r="T152" s="41">
        <v>2.2737367544323206E-13</v>
      </c>
      <c r="U152" s="41">
        <v>6516.6200000000008</v>
      </c>
      <c r="V152" s="41">
        <v>0</v>
      </c>
      <c r="W152" s="41">
        <v>5177.88</v>
      </c>
    </row>
    <row r="153" spans="1:23" hidden="1" x14ac:dyDescent="0.25">
      <c r="A153" s="18">
        <v>5672</v>
      </c>
      <c r="B153" s="19">
        <v>4456</v>
      </c>
      <c r="C153" s="19" t="s">
        <v>291</v>
      </c>
      <c r="D153" s="19" t="s">
        <v>288</v>
      </c>
      <c r="E153" s="19" t="s">
        <v>57</v>
      </c>
      <c r="F153" s="19" t="s">
        <v>233</v>
      </c>
      <c r="G153" s="20" t="str">
        <f>IF(LEN(Table12_52_034[[#This Row],[Ledger Code]])&gt;3,"AR"&amp;Table12_52_034[[#This Row],[Ledger Code]],"TBC")</f>
        <v>AR4456</v>
      </c>
      <c r="H153" s="20"/>
      <c r="I153" s="20"/>
      <c r="J153" s="20"/>
      <c r="K153" s="20"/>
      <c r="L153" s="20"/>
      <c r="M153" s="20"/>
      <c r="N153" s="20"/>
      <c r="O153" s="20"/>
      <c r="P153" s="41">
        <v>2394.87</v>
      </c>
      <c r="Q153" s="41">
        <v>4924.28</v>
      </c>
      <c r="R153" s="41">
        <v>2844.8599999999997</v>
      </c>
      <c r="S153" s="41">
        <v>5478.92</v>
      </c>
      <c r="T153" s="41">
        <v>2.2737367544323206E-13</v>
      </c>
      <c r="U153" s="41">
        <v>6516.6200000000008</v>
      </c>
      <c r="V153" s="41">
        <v>0</v>
      </c>
      <c r="W153" s="41">
        <v>5177.88</v>
      </c>
    </row>
    <row r="154" spans="1:23" hidden="1" x14ac:dyDescent="0.25">
      <c r="A154" s="18">
        <v>5696</v>
      </c>
      <c r="B154" s="19">
        <v>4508</v>
      </c>
      <c r="C154" s="19" t="s">
        <v>292</v>
      </c>
      <c r="D154" s="19" t="s">
        <v>293</v>
      </c>
      <c r="E154" s="19" t="s">
        <v>57</v>
      </c>
      <c r="F154" s="19" t="s">
        <v>233</v>
      </c>
      <c r="G154" s="20" t="str">
        <f>IF(LEN(Table12_52_034[[#This Row],[Ledger Code]])&gt;3,"AR"&amp;Table12_52_034[[#This Row],[Ledger Code]],"TBC")</f>
        <v>AR4508</v>
      </c>
      <c r="H154" s="20"/>
      <c r="I154" s="20"/>
      <c r="J154" s="20"/>
      <c r="K154" s="20"/>
      <c r="L154" s="20"/>
      <c r="M154" s="20"/>
      <c r="N154" s="20"/>
      <c r="O154" s="20"/>
      <c r="P154" s="41">
        <v>0</v>
      </c>
      <c r="Q154" s="41">
        <v>2208.23</v>
      </c>
      <c r="R154" s="41">
        <v>-2208.23</v>
      </c>
      <c r="S154" s="41">
        <v>2193.34</v>
      </c>
      <c r="T154" s="41">
        <v>-215.3900000000001</v>
      </c>
      <c r="U154" s="41">
        <v>2440.02</v>
      </c>
      <c r="V154" s="41">
        <v>-4417.97</v>
      </c>
      <c r="W154" s="41">
        <v>0</v>
      </c>
    </row>
    <row r="155" spans="1:23" hidden="1" x14ac:dyDescent="0.25">
      <c r="A155" s="18">
        <v>5699</v>
      </c>
      <c r="B155" s="19">
        <v>4571</v>
      </c>
      <c r="C155" s="19" t="s">
        <v>294</v>
      </c>
      <c r="D155" s="19" t="s">
        <v>295</v>
      </c>
      <c r="E155" s="19" t="s">
        <v>57</v>
      </c>
      <c r="F155" s="19" t="s">
        <v>233</v>
      </c>
      <c r="G155" s="20" t="str">
        <f>IF(LEN(Table12_52_034[[#This Row],[Ledger Code]])&gt;3,"AR"&amp;Table12_52_034[[#This Row],[Ledger Code]],"TBC")</f>
        <v>AR4571</v>
      </c>
      <c r="H155" s="20"/>
      <c r="I155" s="20"/>
      <c r="J155" s="20"/>
      <c r="K155" s="20"/>
      <c r="L155" s="20"/>
      <c r="M155" s="20"/>
      <c r="N155" s="20"/>
      <c r="O155" s="20"/>
      <c r="P155" s="41">
        <v>0</v>
      </c>
      <c r="Q155" s="41">
        <v>0</v>
      </c>
      <c r="R155" s="41">
        <v>0</v>
      </c>
      <c r="S155" s="41">
        <v>0</v>
      </c>
      <c r="T155" s="41">
        <v>0</v>
      </c>
      <c r="U155" s="41">
        <v>0</v>
      </c>
      <c r="V155" s="41">
        <v>0</v>
      </c>
      <c r="W155" s="41">
        <v>0</v>
      </c>
    </row>
    <row r="156" spans="1:23" hidden="1" x14ac:dyDescent="0.25">
      <c r="A156" s="18">
        <v>5761</v>
      </c>
      <c r="B156" s="19">
        <v>4468</v>
      </c>
      <c r="C156" s="19" t="s">
        <v>296</v>
      </c>
      <c r="D156" s="19" t="s">
        <v>297</v>
      </c>
      <c r="E156" s="19" t="s">
        <v>57</v>
      </c>
      <c r="F156" s="19" t="s">
        <v>233</v>
      </c>
      <c r="G156" s="20" t="str">
        <f>IF(LEN(Table12_52_034[[#This Row],[Ledger Code]])&gt;3,"AR"&amp;Table12_52_034[[#This Row],[Ledger Code]],"TBC")</f>
        <v>AR4468</v>
      </c>
      <c r="H156" s="20"/>
      <c r="I156" s="20"/>
      <c r="J156" s="20"/>
      <c r="K156" s="20"/>
      <c r="L156" s="20"/>
      <c r="M156" s="20"/>
      <c r="N156" s="20"/>
      <c r="O156" s="20"/>
      <c r="P156" s="41">
        <v>0</v>
      </c>
      <c r="Q156" s="41">
        <v>149.80000000000001</v>
      </c>
      <c r="R156" s="41">
        <v>191.71</v>
      </c>
      <c r="S156" s="41">
        <v>236.92</v>
      </c>
      <c r="T156" s="41">
        <v>380.5100000000001</v>
      </c>
      <c r="U156" s="41">
        <v>372.78</v>
      </c>
      <c r="V156" s="41">
        <v>345.71000000000004</v>
      </c>
      <c r="W156" s="41">
        <v>318.25</v>
      </c>
    </row>
    <row r="157" spans="1:23" hidden="1" x14ac:dyDescent="0.25">
      <c r="A157" s="18">
        <v>5806</v>
      </c>
      <c r="B157" s="19">
        <v>4508</v>
      </c>
      <c r="C157" s="19" t="s">
        <v>298</v>
      </c>
      <c r="D157" s="19" t="s">
        <v>293</v>
      </c>
      <c r="E157" s="19" t="s">
        <v>57</v>
      </c>
      <c r="F157" s="19" t="s">
        <v>233</v>
      </c>
      <c r="G157" s="20" t="str">
        <f>IF(LEN(Table12_52_034[[#This Row],[Ledger Code]])&gt;3,"AR"&amp;Table12_52_034[[#This Row],[Ledger Code]],"TBC")</f>
        <v>AR4508</v>
      </c>
      <c r="H157" s="20"/>
      <c r="I157" s="20"/>
      <c r="J157" s="20"/>
      <c r="K157" s="20"/>
      <c r="L157" s="20"/>
      <c r="M157" s="20"/>
      <c r="N157" s="20"/>
      <c r="O157" s="20"/>
      <c r="P157" s="41">
        <v>0</v>
      </c>
      <c r="Q157" s="41">
        <v>2208.23</v>
      </c>
      <c r="R157" s="41">
        <v>-2208.23</v>
      </c>
      <c r="S157" s="41">
        <v>2193.34</v>
      </c>
      <c r="T157" s="41">
        <v>-215.3900000000001</v>
      </c>
      <c r="U157" s="41">
        <v>2440.02</v>
      </c>
      <c r="V157" s="41">
        <v>-4417.97</v>
      </c>
      <c r="W157" s="41">
        <v>0</v>
      </c>
    </row>
    <row r="158" spans="1:23" hidden="1" x14ac:dyDescent="0.25">
      <c r="A158" s="18">
        <v>5851</v>
      </c>
      <c r="B158" s="19">
        <v>4544</v>
      </c>
      <c r="C158" s="19" t="s">
        <v>318</v>
      </c>
      <c r="D158" s="19" t="s">
        <v>319</v>
      </c>
      <c r="E158" s="19" t="s">
        <v>57</v>
      </c>
      <c r="F158" s="19" t="s">
        <v>233</v>
      </c>
      <c r="G158" s="20" t="str">
        <f>IF(LEN(Table12_52_034[[#This Row],[Ledger Code]])&gt;3,"AR"&amp;Table12_52_034[[#This Row],[Ledger Code]],"TBC")</f>
        <v>AR4544</v>
      </c>
      <c r="H158" s="20"/>
      <c r="I158" s="20"/>
      <c r="J158" s="20"/>
      <c r="K158" s="20"/>
      <c r="L158" s="20"/>
      <c r="M158" s="20"/>
      <c r="N158" s="20"/>
      <c r="O158" s="20"/>
      <c r="P158" s="41">
        <v>0</v>
      </c>
      <c r="Q158" s="41">
        <v>953.68000000000006</v>
      </c>
      <c r="R158" s="41">
        <v>402.46000000000004</v>
      </c>
      <c r="S158" s="41">
        <v>841.56999999999994</v>
      </c>
      <c r="T158" s="41">
        <v>28.070000000000114</v>
      </c>
      <c r="U158" s="41">
        <v>1088.5600000000002</v>
      </c>
      <c r="V158" s="41">
        <v>0</v>
      </c>
      <c r="W158" s="41">
        <v>550.51</v>
      </c>
    </row>
    <row r="159" spans="1:23" hidden="1" x14ac:dyDescent="0.25">
      <c r="A159" s="18">
        <v>5882</v>
      </c>
      <c r="B159" s="19">
        <v>9495</v>
      </c>
      <c r="C159" s="19" t="s">
        <v>299</v>
      </c>
      <c r="D159" s="19" t="s">
        <v>300</v>
      </c>
      <c r="E159" s="19" t="s">
        <v>26</v>
      </c>
      <c r="F159" s="19" t="s">
        <v>48</v>
      </c>
      <c r="G159" s="20" t="str">
        <f>IF(LEN(Table12_52_034[[#This Row],[Ledger Code]])&gt;3,"AR"&amp;Table12_52_034[[#This Row],[Ledger Code]],"TBC")</f>
        <v>AR9495</v>
      </c>
      <c r="H159" s="20"/>
      <c r="I159" s="20"/>
      <c r="J159" s="20"/>
      <c r="K159" s="20"/>
      <c r="L159" s="20"/>
      <c r="M159" s="20"/>
      <c r="N159" s="20"/>
      <c r="O159" s="20"/>
      <c r="P159" s="41">
        <v>2.8421709430404007E-14</v>
      </c>
      <c r="Q159" s="41">
        <v>145.21000000000004</v>
      </c>
      <c r="R159" s="41">
        <v>0</v>
      </c>
      <c r="S159" s="41">
        <v>3151.1400000000003</v>
      </c>
      <c r="T159" s="41">
        <v>2040.77</v>
      </c>
      <c r="U159" s="41">
        <v>0</v>
      </c>
      <c r="V159" s="41">
        <v>2603.3199999999997</v>
      </c>
      <c r="W159" s="41">
        <v>-1.1368683772161603E-13</v>
      </c>
    </row>
    <row r="160" spans="1:23" hidden="1" x14ac:dyDescent="0.25">
      <c r="A160" s="18">
        <v>5895</v>
      </c>
      <c r="B160" s="19">
        <v>9460</v>
      </c>
      <c r="C160" s="19" t="s">
        <v>301</v>
      </c>
      <c r="D160" s="19" t="s">
        <v>302</v>
      </c>
      <c r="E160" s="19" t="s">
        <v>9</v>
      </c>
      <c r="F160" s="19" t="s">
        <v>98</v>
      </c>
      <c r="G160" s="20" t="str">
        <f>IF(LEN(Table12_52_034[[#This Row],[Ledger Code]])&gt;3,"AR"&amp;Table12_52_034[[#This Row],[Ledger Code]],"TBC")</f>
        <v>AR9460</v>
      </c>
      <c r="H160" s="20"/>
      <c r="I160" s="20"/>
      <c r="J160" s="20"/>
      <c r="K160" s="20"/>
      <c r="L160" s="20"/>
      <c r="M160" s="20"/>
      <c r="N160" s="20"/>
      <c r="O160" s="20"/>
      <c r="P160" s="41">
        <v>0</v>
      </c>
      <c r="Q160" s="41">
        <v>0</v>
      </c>
      <c r="R160" s="41">
        <v>219.45999999999989</v>
      </c>
      <c r="S160" s="41">
        <v>1220.1800000000003</v>
      </c>
      <c r="T160" s="41">
        <v>6591.67</v>
      </c>
      <c r="U160" s="41">
        <v>9.0949470177292824E-13</v>
      </c>
      <c r="V160" s="41">
        <v>4500.170000000001</v>
      </c>
      <c r="W160" s="41">
        <v>4.5474735088646412E-13</v>
      </c>
    </row>
    <row r="161" spans="1:23" hidden="1" x14ac:dyDescent="0.25">
      <c r="A161" s="18">
        <v>5896</v>
      </c>
      <c r="B161" s="19">
        <v>9460</v>
      </c>
      <c r="C161" s="19" t="s">
        <v>303</v>
      </c>
      <c r="D161" s="19" t="s">
        <v>302</v>
      </c>
      <c r="E161" s="19" t="s">
        <v>9</v>
      </c>
      <c r="F161" s="19" t="s">
        <v>98</v>
      </c>
      <c r="G161" s="20" t="str">
        <f>IF(LEN(Table12_52_034[[#This Row],[Ledger Code]])&gt;3,"AR"&amp;Table12_52_034[[#This Row],[Ledger Code]],"TBC")</f>
        <v>AR9460</v>
      </c>
      <c r="H161" s="20"/>
      <c r="I161" s="20"/>
      <c r="J161" s="20"/>
      <c r="K161" s="20"/>
      <c r="L161" s="20"/>
      <c r="M161" s="20"/>
      <c r="N161" s="20"/>
      <c r="O161" s="20"/>
      <c r="P161" s="41">
        <v>0</v>
      </c>
      <c r="Q161" s="41">
        <v>0</v>
      </c>
      <c r="R161" s="41">
        <v>219.45999999999989</v>
      </c>
      <c r="S161" s="41">
        <v>1220.1800000000003</v>
      </c>
      <c r="T161" s="41">
        <v>6591.67</v>
      </c>
      <c r="U161" s="41">
        <v>9.0949470177292824E-13</v>
      </c>
      <c r="V161" s="41">
        <v>4500.170000000001</v>
      </c>
      <c r="W161" s="41">
        <v>4.5474735088646412E-13</v>
      </c>
    </row>
    <row r="162" spans="1:23" hidden="1" x14ac:dyDescent="0.25">
      <c r="A162" s="18">
        <v>5902</v>
      </c>
      <c r="B162" s="19">
        <v>7516</v>
      </c>
      <c r="C162" s="19" t="s">
        <v>304</v>
      </c>
      <c r="D162" s="19" t="s">
        <v>305</v>
      </c>
      <c r="E162" s="19" t="s">
        <v>220</v>
      </c>
      <c r="F162" s="19" t="s">
        <v>228</v>
      </c>
      <c r="G162" s="20" t="str">
        <f>IF(LEN(Table12_52_034[[#This Row],[Ledger Code]])&gt;3,"AR"&amp;Table12_52_034[[#This Row],[Ledger Code]],"TBC")</f>
        <v>AR7516</v>
      </c>
      <c r="H162" s="20"/>
      <c r="I162" s="20"/>
      <c r="J162" s="20"/>
      <c r="K162" s="20"/>
      <c r="L162" s="20"/>
      <c r="M162" s="20"/>
      <c r="N162" s="20"/>
      <c r="O162" s="20"/>
      <c r="P162" s="41">
        <v>0</v>
      </c>
      <c r="Q162" s="41">
        <v>0</v>
      </c>
      <c r="R162" s="41">
        <v>0</v>
      </c>
      <c r="S162" s="41">
        <v>0</v>
      </c>
      <c r="T162" s="41">
        <v>0</v>
      </c>
      <c r="U162" s="41">
        <v>0</v>
      </c>
      <c r="V162" s="41">
        <v>0</v>
      </c>
      <c r="W162" s="41">
        <v>0</v>
      </c>
    </row>
    <row r="163" spans="1:23" hidden="1" x14ac:dyDescent="0.25">
      <c r="A163" s="18">
        <v>5906</v>
      </c>
      <c r="B163" s="19">
        <v>3028</v>
      </c>
      <c r="C163" s="19" t="s">
        <v>306</v>
      </c>
      <c r="D163" s="19" t="s">
        <v>307</v>
      </c>
      <c r="E163" s="19" t="s">
        <v>57</v>
      </c>
      <c r="F163" s="19" t="s">
        <v>70</v>
      </c>
      <c r="G163" s="20" t="str">
        <f>IF(LEN(Table12_52_034[[#This Row],[Ledger Code]])&gt;3,"AR"&amp;Table12_52_034[[#This Row],[Ledger Code]],"TBC")</f>
        <v>AR3028</v>
      </c>
      <c r="H163" s="20"/>
      <c r="I163" s="20"/>
      <c r="J163" s="20"/>
      <c r="K163" s="20"/>
      <c r="L163" s="20"/>
      <c r="M163" s="20"/>
      <c r="N163" s="20"/>
      <c r="O163" s="20"/>
      <c r="P163" s="41">
        <v>0</v>
      </c>
      <c r="Q163" s="41">
        <v>0</v>
      </c>
      <c r="R163" s="41">
        <v>0</v>
      </c>
      <c r="S163" s="41">
        <v>0</v>
      </c>
      <c r="T163" s="41">
        <v>0</v>
      </c>
      <c r="U163" s="41">
        <v>0</v>
      </c>
      <c r="V163" s="41">
        <v>0</v>
      </c>
      <c r="W163" s="41">
        <v>0</v>
      </c>
    </row>
    <row r="164" spans="1:23" hidden="1" x14ac:dyDescent="0.25">
      <c r="A164" s="21">
        <v>5909</v>
      </c>
      <c r="B164" s="19">
        <v>9473</v>
      </c>
      <c r="C164" s="19" t="s">
        <v>308</v>
      </c>
      <c r="D164" s="19" t="s">
        <v>309</v>
      </c>
      <c r="E164" s="19" t="s">
        <v>57</v>
      </c>
      <c r="F164" s="19" t="s">
        <v>70</v>
      </c>
      <c r="G164" s="20" t="str">
        <f>IF(LEN(Table12_52_034[[#This Row],[Ledger Code]])&gt;3,"AR"&amp;Table12_52_034[[#This Row],[Ledger Code]],"TBC")</f>
        <v>AR9473</v>
      </c>
      <c r="H164" s="20"/>
      <c r="I164" s="20"/>
      <c r="J164" s="20"/>
      <c r="K164" s="20"/>
      <c r="L164" s="20"/>
      <c r="M164" s="20"/>
      <c r="N164" s="20"/>
      <c r="O164" s="20"/>
      <c r="P164" s="41">
        <v>0</v>
      </c>
      <c r="Q164" s="41">
        <v>0</v>
      </c>
      <c r="R164" s="41">
        <v>0</v>
      </c>
      <c r="S164" s="41">
        <v>0</v>
      </c>
      <c r="T164" s="41">
        <v>0</v>
      </c>
      <c r="U164" s="41">
        <v>0</v>
      </c>
      <c r="V164" s="41">
        <v>0</v>
      </c>
      <c r="W164" s="41">
        <v>0</v>
      </c>
    </row>
    <row r="165" spans="1:23" hidden="1" x14ac:dyDescent="0.25">
      <c r="A165" s="18">
        <v>5910</v>
      </c>
      <c r="B165" s="19">
        <v>9472</v>
      </c>
      <c r="C165" s="19" t="s">
        <v>310</v>
      </c>
      <c r="D165" s="19" t="s">
        <v>309</v>
      </c>
      <c r="E165" s="19" t="s">
        <v>57</v>
      </c>
      <c r="F165" s="19" t="s">
        <v>70</v>
      </c>
      <c r="G165" s="20" t="str">
        <f>IF(LEN(Table12_52_034[[#This Row],[Ledger Code]])&gt;3,"AR"&amp;Table12_52_034[[#This Row],[Ledger Code]],"TBC")</f>
        <v>AR9472</v>
      </c>
      <c r="H165" s="20"/>
      <c r="I165" s="20"/>
      <c r="J165" s="20"/>
      <c r="K165" s="20"/>
      <c r="L165" s="20"/>
      <c r="M165" s="20"/>
      <c r="N165" s="20"/>
      <c r="O165" s="20"/>
      <c r="P165" s="41">
        <v>0</v>
      </c>
      <c r="Q165" s="41">
        <v>0</v>
      </c>
      <c r="R165" s="41">
        <v>0</v>
      </c>
      <c r="S165" s="41">
        <v>0</v>
      </c>
      <c r="T165" s="41">
        <v>0</v>
      </c>
      <c r="U165" s="41">
        <v>0</v>
      </c>
      <c r="V165" s="41">
        <v>0</v>
      </c>
      <c r="W165" s="41">
        <v>0</v>
      </c>
    </row>
    <row r="166" spans="1:23" hidden="1" x14ac:dyDescent="0.25">
      <c r="A166" s="18">
        <v>5912</v>
      </c>
      <c r="B166" s="19">
        <v>9474</v>
      </c>
      <c r="C166" s="19" t="s">
        <v>311</v>
      </c>
      <c r="D166" s="19" t="s">
        <v>309</v>
      </c>
      <c r="E166" s="19" t="s">
        <v>57</v>
      </c>
      <c r="F166" s="19" t="s">
        <v>70</v>
      </c>
      <c r="G166" s="20" t="str">
        <f>IF(LEN(Table12_52_034[[#This Row],[Ledger Code]])&gt;3,"AR"&amp;Table12_52_034[[#This Row],[Ledger Code]],"TBC")</f>
        <v>AR9474</v>
      </c>
      <c r="H166" s="20"/>
      <c r="I166" s="20"/>
      <c r="J166" s="20"/>
      <c r="K166" s="20"/>
      <c r="L166" s="20"/>
      <c r="M166" s="20"/>
      <c r="N166" s="20"/>
      <c r="O166" s="20"/>
      <c r="P166" s="41">
        <v>0</v>
      </c>
      <c r="Q166" s="41">
        <v>0</v>
      </c>
      <c r="R166" s="41">
        <v>0</v>
      </c>
      <c r="S166" s="41">
        <v>0</v>
      </c>
      <c r="T166" s="41">
        <v>0</v>
      </c>
      <c r="U166" s="41">
        <v>0</v>
      </c>
      <c r="V166" s="41">
        <v>0</v>
      </c>
      <c r="W166" s="41">
        <v>0</v>
      </c>
    </row>
    <row r="167" spans="1:23" hidden="1" x14ac:dyDescent="0.25">
      <c r="A167" s="18">
        <v>5917</v>
      </c>
      <c r="B167" s="19">
        <v>9481</v>
      </c>
      <c r="C167" s="19" t="s">
        <v>184</v>
      </c>
      <c r="D167" s="19" t="s">
        <v>185</v>
      </c>
      <c r="E167" s="19" t="s">
        <v>57</v>
      </c>
      <c r="F167" s="19" t="s">
        <v>186</v>
      </c>
      <c r="G167" s="20" t="str">
        <f>IF(LEN(Table12_52_034[[#This Row],[Ledger Code]])&gt;3,"AR"&amp;Table12_52_034[[#This Row],[Ledger Code]],"TBC")</f>
        <v>AR9481</v>
      </c>
      <c r="H167" s="20"/>
      <c r="I167" s="20"/>
      <c r="J167" s="20"/>
      <c r="K167" s="20"/>
      <c r="L167" s="20"/>
      <c r="M167" s="20"/>
      <c r="N167" s="20"/>
      <c r="O167" s="20"/>
      <c r="P167" s="41">
        <v>0</v>
      </c>
      <c r="Q167" s="41">
        <v>0</v>
      </c>
      <c r="R167" s="41">
        <v>0</v>
      </c>
      <c r="S167" s="41">
        <v>0</v>
      </c>
      <c r="T167" s="41">
        <v>0</v>
      </c>
      <c r="U167" s="41">
        <v>0</v>
      </c>
      <c r="V167" s="41">
        <v>0</v>
      </c>
      <c r="W167" s="41">
        <v>0</v>
      </c>
    </row>
    <row r="168" spans="1:23" hidden="1" x14ac:dyDescent="0.25">
      <c r="A168" s="21">
        <v>5919</v>
      </c>
      <c r="B168" s="19">
        <v>9484</v>
      </c>
      <c r="C168" s="19" t="s">
        <v>312</v>
      </c>
      <c r="D168" s="19" t="s">
        <v>313</v>
      </c>
      <c r="E168" s="19" t="s">
        <v>26</v>
      </c>
      <c r="F168" s="19" t="s">
        <v>27</v>
      </c>
      <c r="G168" s="20" t="str">
        <f>IF(LEN(Table12_52_034[[#This Row],[Ledger Code]])&gt;3,"AR"&amp;Table12_52_034[[#This Row],[Ledger Code]],"TBC")</f>
        <v>AR9484</v>
      </c>
      <c r="H168" s="20"/>
      <c r="I168" s="20"/>
      <c r="J168" s="20"/>
      <c r="K168" s="20"/>
      <c r="L168" s="20"/>
      <c r="M168" s="20"/>
      <c r="N168" s="20"/>
      <c r="O168" s="20"/>
      <c r="P168" s="41">
        <v>0</v>
      </c>
      <c r="Q168" s="41">
        <v>0</v>
      </c>
      <c r="R168" s="41">
        <v>0</v>
      </c>
      <c r="S168" s="41">
        <v>0</v>
      </c>
      <c r="T168" s="41">
        <v>0</v>
      </c>
      <c r="U168" s="41">
        <v>0</v>
      </c>
      <c r="V168" s="41">
        <v>0</v>
      </c>
      <c r="W168" s="41">
        <v>0</v>
      </c>
    </row>
    <row r="169" spans="1:23" hidden="1" x14ac:dyDescent="0.25">
      <c r="A169" s="18">
        <v>5922</v>
      </c>
      <c r="B169" s="19">
        <v>9492</v>
      </c>
      <c r="C169" s="19" t="s">
        <v>314</v>
      </c>
      <c r="D169" s="19" t="s">
        <v>315</v>
      </c>
      <c r="E169" s="19" t="s">
        <v>26</v>
      </c>
      <c r="F169" s="19" t="s">
        <v>175</v>
      </c>
      <c r="G169" s="20" t="str">
        <f>IF(LEN(Table12_52_034[[#This Row],[Ledger Code]])&gt;3,"AR"&amp;Table12_52_034[[#This Row],[Ledger Code]],"TBC")</f>
        <v>AR9492</v>
      </c>
      <c r="H169" s="20"/>
      <c r="I169" s="20"/>
      <c r="J169" s="20"/>
      <c r="K169" s="20"/>
      <c r="L169" s="20"/>
      <c r="M169" s="20"/>
      <c r="N169" s="20"/>
      <c r="O169" s="20"/>
      <c r="P169" s="41">
        <v>0</v>
      </c>
      <c r="Q169" s="41">
        <v>0</v>
      </c>
      <c r="R169" s="41">
        <v>763.64</v>
      </c>
      <c r="S169" s="41">
        <v>0</v>
      </c>
      <c r="T169" s="41">
        <v>767.88000000000022</v>
      </c>
      <c r="U169" s="41">
        <v>0</v>
      </c>
      <c r="V169" s="41">
        <v>906.07999999999993</v>
      </c>
      <c r="W169" s="41">
        <v>0</v>
      </c>
    </row>
    <row r="170" spans="1:23" hidden="1" x14ac:dyDescent="0.25">
      <c r="A170" s="18">
        <v>5925</v>
      </c>
      <c r="B170" s="19">
        <v>9122</v>
      </c>
      <c r="C170" s="19" t="s">
        <v>316</v>
      </c>
      <c r="D170" s="19" t="s">
        <v>317</v>
      </c>
      <c r="E170" s="19" t="s">
        <v>9</v>
      </c>
      <c r="F170" s="19" t="s">
        <v>10</v>
      </c>
      <c r="G170" s="20" t="str">
        <f>IF(LEN(Table12_52_034[[#This Row],[Ledger Code]])&gt;3,"AR"&amp;Table12_52_034[[#This Row],[Ledger Code]],"TBC")</f>
        <v>AR9122</v>
      </c>
      <c r="H170" s="20"/>
      <c r="I170" s="20"/>
      <c r="J170" s="20"/>
      <c r="K170" s="20"/>
      <c r="L170" s="20"/>
      <c r="M170" s="20"/>
      <c r="N170" s="20"/>
      <c r="O170" s="20"/>
      <c r="P170" s="41">
        <v>0</v>
      </c>
      <c r="Q170" s="41">
        <v>0</v>
      </c>
      <c r="R170" s="41">
        <v>0</v>
      </c>
      <c r="S170" s="41">
        <v>0</v>
      </c>
      <c r="T170" s="41">
        <v>93.6</v>
      </c>
      <c r="U170" s="41">
        <v>-93.6</v>
      </c>
      <c r="V170" s="41">
        <v>0</v>
      </c>
      <c r="W170" s="41">
        <v>0</v>
      </c>
    </row>
    <row r="171" spans="1:23" hidden="1" x14ac:dyDescent="0.25">
      <c r="A171" s="18">
        <v>5966</v>
      </c>
      <c r="B171" s="19">
        <v>8125</v>
      </c>
      <c r="C171" s="19" t="s">
        <v>342</v>
      </c>
      <c r="D171" s="19" t="s">
        <v>343</v>
      </c>
      <c r="E171" s="19" t="s">
        <v>26</v>
      </c>
      <c r="F171" s="19" t="s">
        <v>48</v>
      </c>
      <c r="G171" s="20" t="str">
        <f>IF(LEN(Table12_52_034[[#This Row],[Ledger Code]])&gt;3,"AR"&amp;Table12_52_034[[#This Row],[Ledger Code]],"TBC")</f>
        <v>AR8125</v>
      </c>
      <c r="H171" s="20"/>
      <c r="I171" s="20"/>
      <c r="J171" s="20"/>
      <c r="K171" s="20"/>
      <c r="L171" s="20"/>
      <c r="M171" s="20"/>
      <c r="N171" s="20"/>
      <c r="O171" s="20"/>
      <c r="P171" s="41">
        <v>0</v>
      </c>
      <c r="Q171" s="41">
        <v>0</v>
      </c>
      <c r="R171" s="41">
        <v>-1.1368683772161603E-13</v>
      </c>
      <c r="S171" s="41">
        <v>0</v>
      </c>
      <c r="T171" s="41">
        <v>0</v>
      </c>
      <c r="U171" s="41">
        <v>0</v>
      </c>
      <c r="V171" s="41">
        <v>0</v>
      </c>
      <c r="W171" s="41">
        <v>0</v>
      </c>
    </row>
    <row r="172" spans="1:23" hidden="1" x14ac:dyDescent="0.25">
      <c r="A172" s="18">
        <v>5967</v>
      </c>
      <c r="B172" s="19">
        <v>4213</v>
      </c>
      <c r="C172" s="19" t="s">
        <v>339</v>
      </c>
      <c r="D172" s="19" t="s">
        <v>340</v>
      </c>
      <c r="E172" s="19" t="s">
        <v>57</v>
      </c>
      <c r="F172" s="19" t="s">
        <v>233</v>
      </c>
      <c r="G172" s="20" t="str">
        <f>IF(LEN(Table12_52_034[[#This Row],[Ledger Code]])&gt;3,"AR"&amp;Table12_52_034[[#This Row],[Ledger Code]],"TBC")</f>
        <v>AR4213</v>
      </c>
      <c r="H172" s="20"/>
      <c r="I172" s="20"/>
      <c r="J172" s="20"/>
      <c r="K172" s="20"/>
      <c r="L172" s="20"/>
      <c r="M172" s="20"/>
      <c r="N172" s="20"/>
      <c r="O172" s="20"/>
      <c r="P172" s="41">
        <v>0</v>
      </c>
      <c r="Q172" s="41">
        <v>0</v>
      </c>
      <c r="R172" s="41">
        <v>0</v>
      </c>
      <c r="S172" s="41">
        <v>0</v>
      </c>
      <c r="T172" s="41">
        <v>0</v>
      </c>
      <c r="U172" s="41">
        <v>0</v>
      </c>
      <c r="V172" s="41">
        <v>0</v>
      </c>
      <c r="W172" s="41">
        <v>0</v>
      </c>
    </row>
    <row r="173" spans="1:23" hidden="1" x14ac:dyDescent="0.25">
      <c r="A173" s="18">
        <v>6027</v>
      </c>
      <c r="B173" s="19">
        <v>2680</v>
      </c>
      <c r="C173" s="19" t="s">
        <v>336</v>
      </c>
      <c r="D173" s="19" t="s">
        <v>309</v>
      </c>
      <c r="E173" s="19" t="s">
        <v>57</v>
      </c>
      <c r="F173" s="19" t="s">
        <v>70</v>
      </c>
      <c r="G173" s="20" t="str">
        <f>IF(LEN(Table12_52_034[[#This Row],[Ledger Code]])&gt;3,"AR"&amp;Table12_52_034[[#This Row],[Ledger Code]],"TBC")</f>
        <v>AR2680</v>
      </c>
      <c r="H173" s="20"/>
      <c r="I173" s="20"/>
      <c r="J173" s="20"/>
      <c r="K173" s="20"/>
      <c r="L173" s="20"/>
      <c r="M173" s="20"/>
      <c r="N173" s="20"/>
      <c r="O173" s="20"/>
      <c r="P173" s="41">
        <v>0</v>
      </c>
      <c r="Q173" s="41">
        <v>0</v>
      </c>
      <c r="R173" s="41">
        <v>0</v>
      </c>
      <c r="S173" s="41">
        <v>0</v>
      </c>
      <c r="T173" s="41">
        <v>0</v>
      </c>
      <c r="U173" s="41">
        <v>0</v>
      </c>
      <c r="V173" s="41">
        <v>0</v>
      </c>
      <c r="W173" s="41">
        <v>0</v>
      </c>
    </row>
    <row r="174" spans="1:23" hidden="1" x14ac:dyDescent="0.25">
      <c r="A174" s="18">
        <v>6068</v>
      </c>
      <c r="B174" s="19" t="s">
        <v>387</v>
      </c>
      <c r="C174" s="19" t="s">
        <v>327</v>
      </c>
      <c r="D174" s="19" t="s">
        <v>328</v>
      </c>
      <c r="E174" s="19" t="s">
        <v>26</v>
      </c>
      <c r="F174" s="19" t="s">
        <v>175</v>
      </c>
      <c r="G174" s="20" t="str">
        <f>IF(LEN(Table12_52_034[[#This Row],[Ledger Code]])&gt;3,"AR"&amp;Table12_52_034[[#This Row],[Ledger Code]],"TBC")</f>
        <v>TBC</v>
      </c>
      <c r="H174" s="20"/>
      <c r="I174" s="20"/>
      <c r="J174" s="20"/>
      <c r="K174" s="20"/>
      <c r="L174" s="20"/>
      <c r="M174" s="20"/>
      <c r="N174" s="20"/>
      <c r="O174" s="20"/>
      <c r="P174" s="41">
        <v>0</v>
      </c>
      <c r="Q174" s="41">
        <v>0</v>
      </c>
      <c r="R174" s="41">
        <v>0</v>
      </c>
      <c r="S174" s="41">
        <v>0</v>
      </c>
      <c r="T174" s="41">
        <v>0</v>
      </c>
      <c r="U174" s="41">
        <v>0</v>
      </c>
      <c r="V174" s="41">
        <v>0</v>
      </c>
      <c r="W174" s="41">
        <v>0</v>
      </c>
    </row>
    <row r="175" spans="1:23" hidden="1" x14ac:dyDescent="0.25">
      <c r="A175" s="18" t="s">
        <v>625</v>
      </c>
      <c r="B175" s="19" t="s">
        <v>387</v>
      </c>
      <c r="C175" s="19" t="s">
        <v>322</v>
      </c>
      <c r="D175" s="19">
        <v>0</v>
      </c>
      <c r="E175" s="19" t="s">
        <v>9</v>
      </c>
      <c r="F175" s="19">
        <v>0</v>
      </c>
      <c r="G175" s="20" t="str">
        <f>IF(LEN(Table12_52_034[[#This Row],[Ledger Code]])&gt;3,"AR"&amp;Table12_52_034[[#This Row],[Ledger Code]],"TBC")</f>
        <v>TBC</v>
      </c>
      <c r="H175" s="20"/>
      <c r="I175" s="20"/>
      <c r="J175" s="20"/>
      <c r="K175" s="20"/>
      <c r="L175" s="20"/>
      <c r="M175" s="20"/>
      <c r="N175" s="20"/>
      <c r="O175" s="20"/>
      <c r="P175" s="41">
        <v>0</v>
      </c>
      <c r="Q175" s="41">
        <v>0</v>
      </c>
      <c r="R175" s="41">
        <v>0</v>
      </c>
      <c r="S175" s="41">
        <v>0</v>
      </c>
      <c r="T175" s="41">
        <v>0</v>
      </c>
      <c r="U175" s="41">
        <v>0</v>
      </c>
      <c r="V175" s="41">
        <v>0</v>
      </c>
      <c r="W175" s="41">
        <v>0</v>
      </c>
    </row>
    <row r="176" spans="1:23" hidden="1" x14ac:dyDescent="0.25">
      <c r="A176" s="20">
        <v>5914</v>
      </c>
      <c r="B176" s="20">
        <v>9478</v>
      </c>
      <c r="C176" s="20" t="s">
        <v>388</v>
      </c>
      <c r="D176" s="20" t="s">
        <v>364</v>
      </c>
      <c r="E176" s="20" t="s">
        <v>57</v>
      </c>
      <c r="F176" s="20" t="s">
        <v>58</v>
      </c>
      <c r="G176" s="20" t="str">
        <f>IF(LEN(Table12_52_034[[#This Row],[Ledger Code]])&gt;3,"AR"&amp;Table12_52_034[[#This Row],[Ledger Code]],"TBC")</f>
        <v>AR9478</v>
      </c>
      <c r="H176" s="20"/>
      <c r="I176" s="20"/>
      <c r="J176" s="20"/>
      <c r="K176" s="20"/>
      <c r="L176" s="20"/>
      <c r="M176" s="20"/>
      <c r="N176" s="20"/>
      <c r="O176" s="20"/>
      <c r="P176" s="41">
        <v>0</v>
      </c>
      <c r="Q176" s="41">
        <v>0</v>
      </c>
      <c r="R176" s="41">
        <v>0</v>
      </c>
      <c r="S176" s="41">
        <v>0</v>
      </c>
      <c r="T176" s="41">
        <v>0</v>
      </c>
      <c r="U176" s="41">
        <v>0</v>
      </c>
      <c r="V176" s="41">
        <v>0</v>
      </c>
      <c r="W176" s="41">
        <v>0</v>
      </c>
    </row>
    <row r="177" spans="1:23" hidden="1" x14ac:dyDescent="0.25">
      <c r="A177" s="20">
        <v>6106</v>
      </c>
      <c r="B177" s="20">
        <v>9478</v>
      </c>
      <c r="C177" s="20" t="s">
        <v>363</v>
      </c>
      <c r="D177" s="20" t="s">
        <v>364</v>
      </c>
      <c r="E177" s="20" t="s">
        <v>57</v>
      </c>
      <c r="F177" s="20" t="s">
        <v>58</v>
      </c>
      <c r="G177" s="20" t="str">
        <f>IF(LEN(Table12_52_034[[#This Row],[Ledger Code]])&gt;3,"AR"&amp;Table12_52_034[[#This Row],[Ledger Code]],"TBC")</f>
        <v>AR9478</v>
      </c>
      <c r="H177" s="20"/>
      <c r="I177" s="20"/>
      <c r="J177" s="20"/>
      <c r="K177" s="20"/>
      <c r="L177" s="20"/>
      <c r="M177" s="20"/>
      <c r="N177" s="20"/>
      <c r="O177" s="20"/>
      <c r="P177" s="41">
        <v>0</v>
      </c>
      <c r="Q177" s="41">
        <v>0</v>
      </c>
      <c r="R177" s="41">
        <v>0</v>
      </c>
      <c r="S177" s="41">
        <v>0</v>
      </c>
      <c r="T177" s="41">
        <v>0</v>
      </c>
      <c r="U177" s="41">
        <v>0</v>
      </c>
      <c r="V177" s="41">
        <v>0</v>
      </c>
      <c r="W177" s="41">
        <v>0</v>
      </c>
    </row>
    <row r="178" spans="1:23" hidden="1" x14ac:dyDescent="0.25">
      <c r="A178" s="20">
        <v>6107</v>
      </c>
      <c r="B178" s="20">
        <v>9478</v>
      </c>
      <c r="C178" s="20" t="s">
        <v>365</v>
      </c>
      <c r="D178" s="20" t="s">
        <v>364</v>
      </c>
      <c r="E178" s="20" t="s">
        <v>57</v>
      </c>
      <c r="F178" s="20" t="s">
        <v>58</v>
      </c>
      <c r="G178" s="20" t="str">
        <f>IF(LEN(Table12_52_034[[#This Row],[Ledger Code]])&gt;3,"AR"&amp;Table12_52_034[[#This Row],[Ledger Code]],"TBC")</f>
        <v>AR9478</v>
      </c>
      <c r="H178" s="20"/>
      <c r="I178" s="20"/>
      <c r="J178" s="20"/>
      <c r="K178" s="20"/>
      <c r="L178" s="20"/>
      <c r="M178" s="20"/>
      <c r="N178" s="20"/>
      <c r="O178" s="20"/>
      <c r="P178" s="41">
        <v>0</v>
      </c>
      <c r="Q178" s="41">
        <v>0</v>
      </c>
      <c r="R178" s="41">
        <v>0</v>
      </c>
      <c r="S178" s="41">
        <v>0</v>
      </c>
      <c r="T178" s="41">
        <v>0</v>
      </c>
      <c r="U178" s="41">
        <v>0</v>
      </c>
      <c r="V178" s="41">
        <v>0</v>
      </c>
      <c r="W178" s="41">
        <v>0</v>
      </c>
    </row>
    <row r="179" spans="1:23" hidden="1" x14ac:dyDescent="0.25">
      <c r="A179" s="20">
        <v>5877</v>
      </c>
      <c r="B179" s="20">
        <v>7517</v>
      </c>
      <c r="C179" s="20" t="s">
        <v>366</v>
      </c>
      <c r="D179" s="20" t="s">
        <v>305</v>
      </c>
      <c r="E179" s="20" t="s">
        <v>220</v>
      </c>
      <c r="F179" s="20" t="s">
        <v>228</v>
      </c>
      <c r="G179" s="20" t="str">
        <f>IF(LEN(Table12_52_034[[#This Row],[Ledger Code]])&gt;3,"AR"&amp;Table12_52_034[[#This Row],[Ledger Code]],"TBC")</f>
        <v>AR7517</v>
      </c>
      <c r="H179" s="20"/>
      <c r="I179" s="20"/>
      <c r="J179" s="20"/>
      <c r="K179" s="20"/>
      <c r="L179" s="20"/>
      <c r="M179" s="20"/>
      <c r="N179" s="20"/>
      <c r="O179" s="20"/>
      <c r="P179" s="41">
        <v>0</v>
      </c>
      <c r="Q179" s="41">
        <v>0</v>
      </c>
      <c r="R179" s="41">
        <v>0</v>
      </c>
      <c r="S179" s="41">
        <v>0</v>
      </c>
      <c r="T179" s="41">
        <v>0</v>
      </c>
      <c r="U179" s="41">
        <v>0</v>
      </c>
      <c r="V179" s="41">
        <v>0</v>
      </c>
      <c r="W179" s="41">
        <v>0</v>
      </c>
    </row>
    <row r="180" spans="1:23" hidden="1" x14ac:dyDescent="0.25">
      <c r="A180" s="20">
        <v>5901</v>
      </c>
      <c r="B180" s="20">
        <v>9454</v>
      </c>
      <c r="C180" s="20" t="s">
        <v>367</v>
      </c>
      <c r="D180" s="20" t="s">
        <v>305</v>
      </c>
      <c r="E180" s="20" t="s">
        <v>220</v>
      </c>
      <c r="F180" s="20" t="s">
        <v>228</v>
      </c>
      <c r="G180" s="20" t="str">
        <f>IF(LEN(Table12_52_034[[#This Row],[Ledger Code]])&gt;3,"AR"&amp;Table12_52_034[[#This Row],[Ledger Code]],"TBC")</f>
        <v>AR9454</v>
      </c>
      <c r="H180" s="20"/>
      <c r="I180" s="20"/>
      <c r="J180" s="20"/>
      <c r="K180" s="20"/>
      <c r="L180" s="20"/>
      <c r="M180" s="20"/>
      <c r="N180" s="20"/>
      <c r="O180" s="20"/>
      <c r="P180" s="41">
        <v>0</v>
      </c>
      <c r="Q180" s="41">
        <v>0</v>
      </c>
      <c r="R180" s="41">
        <v>0</v>
      </c>
      <c r="S180" s="41">
        <v>0</v>
      </c>
      <c r="T180" s="41">
        <v>0</v>
      </c>
      <c r="U180" s="41">
        <v>0</v>
      </c>
      <c r="V180" s="41">
        <v>0</v>
      </c>
      <c r="W180" s="41">
        <v>0</v>
      </c>
    </row>
    <row r="181" spans="1:23" hidden="1" x14ac:dyDescent="0.25">
      <c r="A181" s="43">
        <v>940</v>
      </c>
      <c r="B181" s="43">
        <v>2527</v>
      </c>
      <c r="C181" s="43" t="s">
        <v>495</v>
      </c>
      <c r="D181" s="43" t="s">
        <v>496</v>
      </c>
      <c r="E181" s="43" t="s">
        <v>57</v>
      </c>
      <c r="F181" s="43" t="s">
        <v>58</v>
      </c>
      <c r="G181" s="44" t="str">
        <f>IF(LEN(Table12_52_034[[#This Row],[Ledger Code]])&gt;3,"AR"&amp;Table12_52_034[[#This Row],[Ledger Code]],"TBC")</f>
        <v>AR2527</v>
      </c>
      <c r="H181" s="43"/>
      <c r="I181" s="43"/>
      <c r="J181" s="43"/>
      <c r="K181" s="43"/>
      <c r="L181" s="43"/>
      <c r="M181" s="43"/>
      <c r="N181" s="43"/>
      <c r="O181" s="43"/>
      <c r="P181" s="45">
        <v>0</v>
      </c>
      <c r="Q181" s="45">
        <v>0</v>
      </c>
      <c r="R181" s="45">
        <v>0</v>
      </c>
      <c r="S181" s="45">
        <v>0</v>
      </c>
      <c r="T181" s="45">
        <v>0</v>
      </c>
      <c r="U181" s="45">
        <v>0</v>
      </c>
      <c r="V181" s="45">
        <v>0</v>
      </c>
      <c r="W181" s="45">
        <v>0</v>
      </c>
    </row>
    <row r="182" spans="1:23" hidden="1" x14ac:dyDescent="0.25">
      <c r="A182" s="43">
        <v>2470</v>
      </c>
      <c r="B182" s="43">
        <v>3466</v>
      </c>
      <c r="C182" s="43" t="s">
        <v>497</v>
      </c>
      <c r="D182" s="43" t="s">
        <v>498</v>
      </c>
      <c r="E182" s="43" t="s">
        <v>57</v>
      </c>
      <c r="F182" s="43" t="s">
        <v>58</v>
      </c>
      <c r="G182" s="44" t="str">
        <f>IF(LEN(Table12_52_034[[#This Row],[Ledger Code]])&gt;3,"AR"&amp;Table12_52_034[[#This Row],[Ledger Code]],"TBC")</f>
        <v>AR3466</v>
      </c>
      <c r="H182" s="43"/>
      <c r="I182" s="43"/>
      <c r="J182" s="43"/>
      <c r="K182" s="43"/>
      <c r="L182" s="43"/>
      <c r="M182" s="43"/>
      <c r="N182" s="43"/>
      <c r="O182" s="43"/>
      <c r="P182" s="45">
        <v>634.30000000000064</v>
      </c>
      <c r="Q182" s="45">
        <v>211.11</v>
      </c>
      <c r="R182" s="45">
        <v>84.6</v>
      </c>
      <c r="S182" s="45">
        <v>-1441</v>
      </c>
      <c r="T182" s="45">
        <v>-51.259999999999977</v>
      </c>
      <c r="U182" s="45">
        <v>114.14000000000001</v>
      </c>
      <c r="V182" s="45">
        <v>0</v>
      </c>
      <c r="W182" s="45">
        <v>0</v>
      </c>
    </row>
    <row r="183" spans="1:23" hidden="1" x14ac:dyDescent="0.25">
      <c r="A183" s="43">
        <v>2502</v>
      </c>
      <c r="B183" s="43">
        <v>3594</v>
      </c>
      <c r="C183" s="43" t="s">
        <v>499</v>
      </c>
      <c r="D183" s="43" t="s">
        <v>500</v>
      </c>
      <c r="E183" s="43" t="s">
        <v>57</v>
      </c>
      <c r="F183" s="43" t="s">
        <v>58</v>
      </c>
      <c r="G183" s="44" t="str">
        <f>IF(LEN(Table12_52_034[[#This Row],[Ledger Code]])&gt;3,"AR"&amp;Table12_52_034[[#This Row],[Ledger Code]],"TBC")</f>
        <v>AR3594</v>
      </c>
      <c r="H183" s="43"/>
      <c r="I183" s="43"/>
      <c r="J183" s="43"/>
      <c r="K183" s="43"/>
      <c r="L183" s="43"/>
      <c r="M183" s="43"/>
      <c r="N183" s="43"/>
      <c r="O183" s="43"/>
      <c r="P183" s="45">
        <v>0</v>
      </c>
      <c r="Q183" s="45">
        <v>0</v>
      </c>
      <c r="R183" s="45">
        <v>0</v>
      </c>
      <c r="S183" s="45">
        <v>0</v>
      </c>
      <c r="T183" s="45">
        <v>0</v>
      </c>
      <c r="U183" s="45">
        <v>0</v>
      </c>
      <c r="V183" s="45">
        <v>0</v>
      </c>
      <c r="W183" s="45">
        <v>0</v>
      </c>
    </row>
    <row r="184" spans="1:23" hidden="1" x14ac:dyDescent="0.25">
      <c r="A184" s="43">
        <v>2593</v>
      </c>
      <c r="B184" s="43">
        <v>3195</v>
      </c>
      <c r="C184" s="43" t="s">
        <v>501</v>
      </c>
      <c r="D184" s="43" t="s">
        <v>502</v>
      </c>
      <c r="E184" s="43" t="s">
        <v>57</v>
      </c>
      <c r="F184" s="43" t="s">
        <v>58</v>
      </c>
      <c r="G184" s="44" t="str">
        <f>IF(LEN(Table12_52_034[[#This Row],[Ledger Code]])&gt;3,"AR"&amp;Table12_52_034[[#This Row],[Ledger Code]],"TBC")</f>
        <v>AR3195</v>
      </c>
      <c r="H184" s="43"/>
      <c r="I184" s="43"/>
      <c r="J184" s="43"/>
      <c r="K184" s="43"/>
      <c r="L184" s="43"/>
      <c r="M184" s="43"/>
      <c r="N184" s="43"/>
      <c r="O184" s="43"/>
      <c r="P184" s="45">
        <v>0</v>
      </c>
      <c r="Q184" s="45">
        <v>0</v>
      </c>
      <c r="R184" s="45">
        <v>0</v>
      </c>
      <c r="S184" s="45">
        <v>0</v>
      </c>
      <c r="T184" s="45">
        <v>0</v>
      </c>
      <c r="U184" s="45">
        <v>0</v>
      </c>
      <c r="V184" s="45">
        <v>0</v>
      </c>
      <c r="W184" s="45">
        <v>0</v>
      </c>
    </row>
    <row r="185" spans="1:23" hidden="1" x14ac:dyDescent="0.25">
      <c r="A185" s="43">
        <v>2596</v>
      </c>
      <c r="B185" s="43">
        <v>3199</v>
      </c>
      <c r="C185" s="43" t="s">
        <v>503</v>
      </c>
      <c r="D185" s="43" t="s">
        <v>504</v>
      </c>
      <c r="E185" s="43" t="s">
        <v>57</v>
      </c>
      <c r="F185" s="43" t="s">
        <v>58</v>
      </c>
      <c r="G185" s="44" t="str">
        <f>IF(LEN(Table12_52_034[[#This Row],[Ledger Code]])&gt;3,"AR"&amp;Table12_52_034[[#This Row],[Ledger Code]],"TBC")</f>
        <v>AR3199</v>
      </c>
      <c r="H185" s="43"/>
      <c r="I185" s="43"/>
      <c r="J185" s="43"/>
      <c r="K185" s="43"/>
      <c r="L185" s="43"/>
      <c r="M185" s="43"/>
      <c r="N185" s="43"/>
      <c r="O185" s="43"/>
      <c r="P185" s="45">
        <v>0</v>
      </c>
      <c r="Q185" s="45">
        <v>0</v>
      </c>
      <c r="R185" s="45">
        <v>0</v>
      </c>
      <c r="S185" s="45">
        <v>0</v>
      </c>
      <c r="T185" s="45">
        <v>0</v>
      </c>
      <c r="U185" s="45">
        <v>0</v>
      </c>
      <c r="V185" s="45">
        <v>0</v>
      </c>
      <c r="W185" s="45">
        <v>0</v>
      </c>
    </row>
    <row r="186" spans="1:23" hidden="1" x14ac:dyDescent="0.25">
      <c r="A186" s="43">
        <v>2597</v>
      </c>
      <c r="B186" s="43">
        <v>3200</v>
      </c>
      <c r="C186" s="43" t="s">
        <v>505</v>
      </c>
      <c r="D186" s="43" t="s">
        <v>504</v>
      </c>
      <c r="E186" s="43" t="s">
        <v>57</v>
      </c>
      <c r="F186" s="43" t="s">
        <v>58</v>
      </c>
      <c r="G186" s="44" t="str">
        <f>IF(LEN(Table12_52_034[[#This Row],[Ledger Code]])&gt;3,"AR"&amp;Table12_52_034[[#This Row],[Ledger Code]],"TBC")</f>
        <v>AR3200</v>
      </c>
      <c r="H186" s="43"/>
      <c r="I186" s="43"/>
      <c r="J186" s="43"/>
      <c r="K186" s="43"/>
      <c r="L186" s="43"/>
      <c r="M186" s="43"/>
      <c r="N186" s="43"/>
      <c r="O186" s="43"/>
      <c r="P186" s="45">
        <v>5816.26</v>
      </c>
      <c r="Q186" s="45">
        <v>0</v>
      </c>
      <c r="R186" s="45">
        <v>0</v>
      </c>
      <c r="S186" s="45">
        <v>16429.349999999999</v>
      </c>
      <c r="T186" s="45">
        <v>0</v>
      </c>
      <c r="U186" s="45">
        <v>0</v>
      </c>
      <c r="V186" s="45">
        <v>3317.56</v>
      </c>
      <c r="W186" s="45">
        <v>0</v>
      </c>
    </row>
    <row r="187" spans="1:23" hidden="1" x14ac:dyDescent="0.25">
      <c r="A187" s="43">
        <v>2698</v>
      </c>
      <c r="B187" s="43">
        <v>3493</v>
      </c>
      <c r="C187" s="43" t="s">
        <v>331</v>
      </c>
      <c r="D187" s="43" t="s">
        <v>506</v>
      </c>
      <c r="E187" s="43" t="s">
        <v>57</v>
      </c>
      <c r="F187" s="43" t="s">
        <v>58</v>
      </c>
      <c r="G187" s="44" t="str">
        <f>IF(LEN(Table12_52_034[[#This Row],[Ledger Code]])&gt;3,"AR"&amp;Table12_52_034[[#This Row],[Ledger Code]],"TBC")</f>
        <v>AR3493</v>
      </c>
      <c r="H187" s="43"/>
      <c r="I187" s="43"/>
      <c r="J187" s="43"/>
      <c r="K187" s="43"/>
      <c r="L187" s="43"/>
      <c r="M187" s="43"/>
      <c r="N187" s="43"/>
      <c r="O187" s="43"/>
      <c r="P187" s="45">
        <v>89.990000000000009</v>
      </c>
      <c r="Q187" s="45">
        <v>162.57000000000002</v>
      </c>
      <c r="R187" s="45">
        <v>156.12000000000003</v>
      </c>
      <c r="S187" s="45">
        <v>253.82999999999998</v>
      </c>
      <c r="T187" s="45">
        <v>134.46</v>
      </c>
      <c r="U187" s="45">
        <v>78.849999999999994</v>
      </c>
      <c r="V187" s="45">
        <v>74.77000000000001</v>
      </c>
      <c r="W187" s="45">
        <v>1.4210854715202004E-14</v>
      </c>
    </row>
    <row r="188" spans="1:23" hidden="1" x14ac:dyDescent="0.25">
      <c r="A188" s="43">
        <v>4292</v>
      </c>
      <c r="B188" s="43">
        <v>4107</v>
      </c>
      <c r="C188" s="43" t="s">
        <v>507</v>
      </c>
      <c r="D188" s="43" t="s">
        <v>508</v>
      </c>
      <c r="E188" s="43" t="s">
        <v>57</v>
      </c>
      <c r="F188" s="43" t="s">
        <v>233</v>
      </c>
      <c r="G188" s="44" t="str">
        <f>IF(LEN(Table12_52_034[[#This Row],[Ledger Code]])&gt;3,"AR"&amp;Table12_52_034[[#This Row],[Ledger Code]],"TBC")</f>
        <v>AR4107</v>
      </c>
      <c r="H188" s="43"/>
      <c r="I188" s="43"/>
      <c r="J188" s="43"/>
      <c r="K188" s="43"/>
      <c r="L188" s="43"/>
      <c r="M188" s="43"/>
      <c r="N188" s="43"/>
      <c r="O188" s="43"/>
      <c r="P188" s="45">
        <v>0</v>
      </c>
      <c r="Q188" s="45">
        <v>482.67</v>
      </c>
      <c r="R188" s="45">
        <v>292.7299999999999</v>
      </c>
      <c r="S188" s="45">
        <v>-2.2737367544323206E-13</v>
      </c>
      <c r="T188" s="45">
        <v>-506.23000000000008</v>
      </c>
      <c r="U188" s="45">
        <v>-697.6</v>
      </c>
      <c r="V188" s="45">
        <v>1414.6</v>
      </c>
      <c r="W188" s="45">
        <v>0</v>
      </c>
    </row>
    <row r="189" spans="1:23" hidden="1" x14ac:dyDescent="0.25">
      <c r="A189" s="43">
        <v>4332</v>
      </c>
      <c r="B189" s="43">
        <v>4197</v>
      </c>
      <c r="C189" s="43" t="s">
        <v>509</v>
      </c>
      <c r="D189" s="43" t="s">
        <v>510</v>
      </c>
      <c r="E189" s="43" t="s">
        <v>57</v>
      </c>
      <c r="F189" s="43" t="s">
        <v>233</v>
      </c>
      <c r="G189" s="44" t="str">
        <f>IF(LEN(Table12_52_034[[#This Row],[Ledger Code]])&gt;3,"AR"&amp;Table12_52_034[[#This Row],[Ledger Code]],"TBC")</f>
        <v>AR4197</v>
      </c>
      <c r="H189" s="43"/>
      <c r="I189" s="43"/>
      <c r="J189" s="43"/>
      <c r="K189" s="43"/>
      <c r="L189" s="43"/>
      <c r="M189" s="43"/>
      <c r="N189" s="43"/>
      <c r="O189" s="43"/>
      <c r="P189" s="45">
        <v>0</v>
      </c>
      <c r="Q189" s="45">
        <v>13.33</v>
      </c>
      <c r="R189" s="45">
        <v>98.460000000000008</v>
      </c>
      <c r="S189" s="45">
        <v>122.36</v>
      </c>
      <c r="T189" s="45">
        <v>392.74</v>
      </c>
      <c r="U189" s="45">
        <v>120.44999999999993</v>
      </c>
      <c r="V189" s="45">
        <v>159.25</v>
      </c>
      <c r="W189" s="45">
        <v>112.56</v>
      </c>
    </row>
    <row r="190" spans="1:23" hidden="1" x14ac:dyDescent="0.25">
      <c r="A190" s="43">
        <v>5943</v>
      </c>
      <c r="B190" s="43">
        <v>4200</v>
      </c>
      <c r="C190" s="43" t="s">
        <v>511</v>
      </c>
      <c r="D190" s="43" t="s">
        <v>512</v>
      </c>
      <c r="E190" s="43" t="s">
        <v>57</v>
      </c>
      <c r="F190" s="43" t="s">
        <v>233</v>
      </c>
      <c r="G190" s="44" t="str">
        <f>IF(LEN(Table12_52_034[[#This Row],[Ledger Code]])&gt;3,"AR"&amp;Table12_52_034[[#This Row],[Ledger Code]],"TBC")</f>
        <v>AR4200</v>
      </c>
      <c r="H190" s="43"/>
      <c r="I190" s="43"/>
      <c r="J190" s="43"/>
      <c r="K190" s="43"/>
      <c r="L190" s="43"/>
      <c r="M190" s="43"/>
      <c r="N190" s="43"/>
      <c r="O190" s="43"/>
      <c r="P190" s="45">
        <v>0</v>
      </c>
      <c r="Q190" s="45">
        <v>108.13</v>
      </c>
      <c r="R190" s="45">
        <v>96.52000000000001</v>
      </c>
      <c r="S190" s="45">
        <v>210.86</v>
      </c>
      <c r="T190" s="45">
        <v>165.76</v>
      </c>
      <c r="U190" s="45">
        <v>110.2</v>
      </c>
      <c r="V190" s="45">
        <v>156.88999999999999</v>
      </c>
      <c r="W190" s="45">
        <v>137.66999999999996</v>
      </c>
    </row>
    <row r="191" spans="1:23" hidden="1" x14ac:dyDescent="0.25">
      <c r="A191" s="43">
        <v>4377</v>
      </c>
      <c r="B191" s="43">
        <v>4107</v>
      </c>
      <c r="C191" s="43" t="s">
        <v>513</v>
      </c>
      <c r="D191" s="43" t="s">
        <v>508</v>
      </c>
      <c r="E191" s="43" t="s">
        <v>57</v>
      </c>
      <c r="F191" s="43" t="s">
        <v>233</v>
      </c>
      <c r="G191" s="44" t="str">
        <f>IF(LEN(Table12_52_034[[#This Row],[Ledger Code]])&gt;3,"AR"&amp;Table12_52_034[[#This Row],[Ledger Code]],"TBC")</f>
        <v>AR4107</v>
      </c>
      <c r="H191" s="43"/>
      <c r="I191" s="43"/>
      <c r="J191" s="43"/>
      <c r="K191" s="43"/>
      <c r="L191" s="43"/>
      <c r="M191" s="43"/>
      <c r="N191" s="43"/>
      <c r="O191" s="43"/>
      <c r="P191" s="45">
        <v>0</v>
      </c>
      <c r="Q191" s="45">
        <v>482.67</v>
      </c>
      <c r="R191" s="45">
        <v>292.7299999999999</v>
      </c>
      <c r="S191" s="45">
        <v>-2.2737367544323206E-13</v>
      </c>
      <c r="T191" s="45">
        <v>-506.23000000000008</v>
      </c>
      <c r="U191" s="45">
        <v>-697.6</v>
      </c>
      <c r="V191" s="45">
        <v>1414.6</v>
      </c>
      <c r="W191" s="45">
        <v>0</v>
      </c>
    </row>
    <row r="192" spans="1:23" hidden="1" x14ac:dyDescent="0.25">
      <c r="A192" s="43">
        <v>4379</v>
      </c>
      <c r="B192" s="43">
        <v>4121</v>
      </c>
      <c r="C192" s="43" t="s">
        <v>514</v>
      </c>
      <c r="D192" s="43" t="s">
        <v>515</v>
      </c>
      <c r="E192" s="43" t="s">
        <v>57</v>
      </c>
      <c r="F192" s="43" t="s">
        <v>233</v>
      </c>
      <c r="G192" s="44" t="str">
        <f>IF(LEN(Table12_52_034[[#This Row],[Ledger Code]])&gt;3,"AR"&amp;Table12_52_034[[#This Row],[Ledger Code]],"TBC")</f>
        <v>AR4121</v>
      </c>
      <c r="H192" s="43"/>
      <c r="I192" s="43"/>
      <c r="J192" s="43"/>
      <c r="K192" s="43"/>
      <c r="L192" s="43"/>
      <c r="M192" s="43"/>
      <c r="N192" s="43"/>
      <c r="O192" s="43"/>
      <c r="P192" s="45">
        <v>0</v>
      </c>
      <c r="Q192" s="45">
        <v>0</v>
      </c>
      <c r="R192" s="45">
        <v>0</v>
      </c>
      <c r="S192" s="45">
        <v>0</v>
      </c>
      <c r="T192" s="45">
        <v>0</v>
      </c>
      <c r="U192" s="45">
        <v>0</v>
      </c>
      <c r="V192" s="45">
        <v>0</v>
      </c>
      <c r="W192" s="45">
        <v>0</v>
      </c>
    </row>
    <row r="193" spans="1:23" hidden="1" x14ac:dyDescent="0.25">
      <c r="A193" s="43">
        <v>4386</v>
      </c>
      <c r="B193" s="43">
        <v>4119</v>
      </c>
      <c r="C193" s="43" t="s">
        <v>516</v>
      </c>
      <c r="D193" s="43" t="s">
        <v>517</v>
      </c>
      <c r="E193" s="43" t="s">
        <v>57</v>
      </c>
      <c r="F193" s="43" t="s">
        <v>233</v>
      </c>
      <c r="G193" s="44" t="str">
        <f>IF(LEN(Table12_52_034[[#This Row],[Ledger Code]])&gt;3,"AR"&amp;Table12_52_034[[#This Row],[Ledger Code]],"TBC")</f>
        <v>AR4119</v>
      </c>
      <c r="H193" s="43"/>
      <c r="I193" s="43"/>
      <c r="J193" s="43"/>
      <c r="K193" s="43"/>
      <c r="L193" s="43"/>
      <c r="M193" s="43"/>
      <c r="N193" s="43"/>
      <c r="O193" s="43"/>
      <c r="P193" s="45">
        <v>0</v>
      </c>
      <c r="Q193" s="45">
        <v>0</v>
      </c>
      <c r="R193" s="45">
        <v>0</v>
      </c>
      <c r="S193" s="45">
        <v>0</v>
      </c>
      <c r="T193" s="45">
        <v>0</v>
      </c>
      <c r="U193" s="45">
        <v>0</v>
      </c>
      <c r="V193" s="45">
        <v>0</v>
      </c>
      <c r="W193" s="45">
        <v>0</v>
      </c>
    </row>
    <row r="194" spans="1:23" hidden="1" x14ac:dyDescent="0.25">
      <c r="A194" s="43">
        <v>5942</v>
      </c>
      <c r="B194" s="43">
        <v>4201</v>
      </c>
      <c r="C194" s="43" t="s">
        <v>518</v>
      </c>
      <c r="D194" s="43" t="s">
        <v>519</v>
      </c>
      <c r="E194" s="43" t="s">
        <v>57</v>
      </c>
      <c r="F194" s="43" t="s">
        <v>233</v>
      </c>
      <c r="G194" s="44" t="str">
        <f>IF(LEN(Table12_52_034[[#This Row],[Ledger Code]])&gt;3,"AR"&amp;Table12_52_034[[#This Row],[Ledger Code]],"TBC")</f>
        <v>AR4201</v>
      </c>
      <c r="H194" s="43"/>
      <c r="I194" s="43"/>
      <c r="J194" s="43"/>
      <c r="K194" s="43"/>
      <c r="L194" s="43"/>
      <c r="M194" s="43"/>
      <c r="N194" s="43"/>
      <c r="O194" s="43"/>
      <c r="P194" s="45">
        <v>0</v>
      </c>
      <c r="Q194" s="45">
        <v>0</v>
      </c>
      <c r="R194" s="45">
        <v>0</v>
      </c>
      <c r="S194" s="45">
        <v>0</v>
      </c>
      <c r="T194" s="45">
        <v>0</v>
      </c>
      <c r="U194" s="45">
        <v>0</v>
      </c>
      <c r="V194" s="45">
        <v>0</v>
      </c>
      <c r="W194" s="45">
        <v>0</v>
      </c>
    </row>
    <row r="195" spans="1:23" hidden="1" x14ac:dyDescent="0.25">
      <c r="A195" s="43">
        <v>5944</v>
      </c>
      <c r="B195" s="43">
        <v>4199</v>
      </c>
      <c r="C195" s="43" t="s">
        <v>520</v>
      </c>
      <c r="D195" s="43" t="s">
        <v>521</v>
      </c>
      <c r="E195" s="43" t="s">
        <v>57</v>
      </c>
      <c r="F195" s="43" t="s">
        <v>233</v>
      </c>
      <c r="G195" s="44" t="str">
        <f>IF(LEN(Table12_52_034[[#This Row],[Ledger Code]])&gt;3,"AR"&amp;Table12_52_034[[#This Row],[Ledger Code]],"TBC")</f>
        <v>AR4199</v>
      </c>
      <c r="H195" s="43"/>
      <c r="I195" s="43"/>
      <c r="J195" s="43"/>
      <c r="K195" s="43"/>
      <c r="L195" s="43"/>
      <c r="M195" s="43"/>
      <c r="N195" s="43"/>
      <c r="O195" s="43"/>
      <c r="P195" s="45">
        <v>0</v>
      </c>
      <c r="Q195" s="45">
        <v>0</v>
      </c>
      <c r="R195" s="45">
        <v>0</v>
      </c>
      <c r="S195" s="45">
        <v>0</v>
      </c>
      <c r="T195" s="45">
        <v>0</v>
      </c>
      <c r="U195" s="45">
        <v>0</v>
      </c>
      <c r="V195" s="45">
        <v>0</v>
      </c>
      <c r="W195" s="45">
        <v>0</v>
      </c>
    </row>
    <row r="196" spans="1:23" hidden="1" x14ac:dyDescent="0.25">
      <c r="A196" s="43">
        <v>5946</v>
      </c>
      <c r="B196" s="43">
        <v>4058</v>
      </c>
      <c r="C196" s="43" t="s">
        <v>522</v>
      </c>
      <c r="D196" s="43" t="s">
        <v>523</v>
      </c>
      <c r="E196" s="43" t="s">
        <v>57</v>
      </c>
      <c r="F196" s="43" t="s">
        <v>233</v>
      </c>
      <c r="G196" s="44" t="str">
        <f>IF(LEN(Table12_52_034[[#This Row],[Ledger Code]])&gt;3,"AR"&amp;Table12_52_034[[#This Row],[Ledger Code]],"TBC")</f>
        <v>AR4058</v>
      </c>
      <c r="H196" s="43"/>
      <c r="I196" s="43"/>
      <c r="J196" s="43"/>
      <c r="K196" s="43"/>
      <c r="L196" s="43"/>
      <c r="M196" s="43"/>
      <c r="N196" s="43"/>
      <c r="O196" s="43"/>
      <c r="P196" s="45">
        <v>0</v>
      </c>
      <c r="Q196" s="45">
        <v>0</v>
      </c>
      <c r="R196" s="45">
        <v>0</v>
      </c>
      <c r="S196" s="45">
        <v>0</v>
      </c>
      <c r="T196" s="45">
        <v>0</v>
      </c>
      <c r="U196" s="45">
        <v>0</v>
      </c>
      <c r="V196" s="45">
        <v>0</v>
      </c>
      <c r="W196" s="45">
        <v>0</v>
      </c>
    </row>
    <row r="197" spans="1:23" hidden="1" x14ac:dyDescent="0.25">
      <c r="A197" s="43">
        <v>5863</v>
      </c>
      <c r="B197" s="43">
        <v>4562</v>
      </c>
      <c r="C197" s="43" t="s">
        <v>524</v>
      </c>
      <c r="D197" s="43" t="s">
        <v>525</v>
      </c>
      <c r="E197" s="43" t="s">
        <v>57</v>
      </c>
      <c r="F197" s="43" t="s">
        <v>233</v>
      </c>
      <c r="G197" s="44" t="str">
        <f>IF(LEN(Table12_52_034[[#This Row],[Ledger Code]])&gt;3,"AR"&amp;Table12_52_034[[#This Row],[Ledger Code]],"TBC")</f>
        <v>AR4562</v>
      </c>
      <c r="H197" s="43"/>
      <c r="I197" s="43"/>
      <c r="J197" s="43"/>
      <c r="K197" s="43"/>
      <c r="L197" s="43"/>
      <c r="M197" s="43"/>
      <c r="N197" s="43"/>
      <c r="O197" s="43"/>
      <c r="P197" s="45">
        <v>0</v>
      </c>
      <c r="Q197" s="45">
        <v>0</v>
      </c>
      <c r="R197" s="45">
        <v>1.1368683772161603E-13</v>
      </c>
      <c r="S197" s="45">
        <v>0</v>
      </c>
      <c r="T197" s="45">
        <v>0</v>
      </c>
      <c r="U197" s="45">
        <v>0</v>
      </c>
      <c r="V197" s="45">
        <v>0</v>
      </c>
      <c r="W197" s="45">
        <v>0</v>
      </c>
    </row>
    <row r="198" spans="1:23" hidden="1" x14ac:dyDescent="0.25">
      <c r="A198" s="43">
        <v>5795</v>
      </c>
      <c r="B198" s="43">
        <v>4395</v>
      </c>
      <c r="C198" s="43" t="s">
        <v>526</v>
      </c>
      <c r="D198" s="43" t="s">
        <v>527</v>
      </c>
      <c r="E198" s="43" t="s">
        <v>57</v>
      </c>
      <c r="F198" s="43" t="s">
        <v>233</v>
      </c>
      <c r="G198" s="44" t="str">
        <f>IF(LEN(Table12_52_034[[#This Row],[Ledger Code]])&gt;3,"AR"&amp;Table12_52_034[[#This Row],[Ledger Code]],"TBC")</f>
        <v>AR4395</v>
      </c>
      <c r="H198" s="43"/>
      <c r="I198" s="43"/>
      <c r="J198" s="43"/>
      <c r="K198" s="43"/>
      <c r="L198" s="43"/>
      <c r="M198" s="43"/>
      <c r="N198" s="43"/>
      <c r="O198" s="43"/>
      <c r="P198" s="45">
        <v>0</v>
      </c>
      <c r="Q198" s="45">
        <v>0</v>
      </c>
      <c r="R198" s="45">
        <v>0</v>
      </c>
      <c r="S198" s="45">
        <v>0</v>
      </c>
      <c r="T198" s="45">
        <v>0</v>
      </c>
      <c r="U198" s="45">
        <v>0</v>
      </c>
      <c r="V198" s="45">
        <v>0</v>
      </c>
      <c r="W198" s="45">
        <v>0</v>
      </c>
    </row>
    <row r="199" spans="1:23" hidden="1" x14ac:dyDescent="0.25">
      <c r="A199" s="43">
        <v>5872</v>
      </c>
      <c r="B199" s="43">
        <v>4434</v>
      </c>
      <c r="C199" s="43" t="s">
        <v>253</v>
      </c>
      <c r="D199" s="43" t="s">
        <v>565</v>
      </c>
      <c r="E199" s="43" t="s">
        <v>57</v>
      </c>
      <c r="F199" s="43" t="s">
        <v>233</v>
      </c>
      <c r="G199" s="44" t="str">
        <f>IF(LEN(Table12_52_034[[#This Row],[Ledger Code]])&gt;3,"AR"&amp;Table12_52_034[[#This Row],[Ledger Code]],"TBC")</f>
        <v>AR4434</v>
      </c>
      <c r="H199" s="43"/>
      <c r="I199" s="43"/>
      <c r="J199" s="43"/>
      <c r="K199" s="43"/>
      <c r="L199" s="43"/>
      <c r="M199" s="43"/>
      <c r="N199" s="43"/>
      <c r="O199" s="43"/>
      <c r="P199" s="45">
        <v>0</v>
      </c>
      <c r="Q199" s="45">
        <v>0</v>
      </c>
      <c r="R199" s="45">
        <v>0</v>
      </c>
      <c r="S199" s="45">
        <v>0</v>
      </c>
      <c r="T199" s="45">
        <v>0</v>
      </c>
      <c r="U199" s="45">
        <v>0</v>
      </c>
      <c r="V199" s="45">
        <v>1065.6500000000001</v>
      </c>
      <c r="W199" s="45">
        <v>0</v>
      </c>
    </row>
    <row r="200" spans="1:23" hidden="1" x14ac:dyDescent="0.25">
      <c r="A200" s="43">
        <v>4941</v>
      </c>
      <c r="B200" s="43">
        <v>4261</v>
      </c>
      <c r="C200" s="43" t="s">
        <v>561</v>
      </c>
      <c r="D200" s="43" t="s">
        <v>562</v>
      </c>
      <c r="E200" s="43" t="s">
        <v>57</v>
      </c>
      <c r="F200" s="43" t="s">
        <v>233</v>
      </c>
      <c r="G200" s="44" t="str">
        <f>IF(LEN(Table12_52_034[[#This Row],[Ledger Code]])&gt;3,"AR"&amp;Table12_52_034[[#This Row],[Ledger Code]],"TBC")</f>
        <v>AR4261</v>
      </c>
      <c r="H200" s="43"/>
      <c r="I200" s="43"/>
      <c r="J200" s="43"/>
      <c r="K200" s="43"/>
      <c r="L200" s="43"/>
      <c r="M200" s="43"/>
      <c r="N200" s="43"/>
      <c r="O200" s="43"/>
      <c r="P200" s="45">
        <v>0</v>
      </c>
      <c r="Q200" s="45">
        <v>0</v>
      </c>
      <c r="R200" s="45">
        <v>1451.9300000000003</v>
      </c>
      <c r="S200" s="45">
        <v>4254.25</v>
      </c>
      <c r="T200" s="45">
        <v>942.17</v>
      </c>
      <c r="U200" s="45">
        <v>2875.3799999999997</v>
      </c>
      <c r="V200" s="45">
        <v>0</v>
      </c>
      <c r="W200" s="45">
        <v>97.65</v>
      </c>
    </row>
    <row r="201" spans="1:23" hidden="1" x14ac:dyDescent="0.25">
      <c r="A201" s="43">
        <v>5828</v>
      </c>
      <c r="B201" s="43">
        <v>4550</v>
      </c>
      <c r="C201" s="43" t="s">
        <v>563</v>
      </c>
      <c r="D201" s="43" t="s">
        <v>564</v>
      </c>
      <c r="E201" s="43" t="s">
        <v>57</v>
      </c>
      <c r="F201" s="43" t="s">
        <v>233</v>
      </c>
      <c r="G201" s="44" t="str">
        <f>IF(LEN(Table12_52_034[[#This Row],[Ledger Code]])&gt;3,"AR"&amp;Table12_52_034[[#This Row],[Ledger Code]],"TBC")</f>
        <v>AR4550</v>
      </c>
      <c r="H201" s="43"/>
      <c r="I201" s="43"/>
      <c r="J201" s="43"/>
      <c r="K201" s="43"/>
      <c r="L201" s="43"/>
      <c r="M201" s="43"/>
      <c r="N201" s="43"/>
      <c r="O201" s="43"/>
      <c r="P201" s="45">
        <v>0</v>
      </c>
      <c r="Q201" s="45">
        <v>0</v>
      </c>
      <c r="R201" s="45">
        <v>0</v>
      </c>
      <c r="S201" s="45">
        <v>-1.4210854715202004E-14</v>
      </c>
      <c r="T201" s="45">
        <v>1306.06</v>
      </c>
      <c r="U201" s="45">
        <v>501.67</v>
      </c>
      <c r="V201" s="45">
        <v>478.61</v>
      </c>
      <c r="W201" s="45">
        <v>462.13</v>
      </c>
    </row>
    <row r="202" spans="1:23" hidden="1" x14ac:dyDescent="0.25">
      <c r="A202" s="43" t="s">
        <v>626</v>
      </c>
      <c r="B202" s="43" t="s">
        <v>387</v>
      </c>
      <c r="C202" s="43" t="s">
        <v>528</v>
      </c>
      <c r="D202" s="43">
        <v>0</v>
      </c>
      <c r="E202" s="43" t="s">
        <v>57</v>
      </c>
      <c r="F202" s="43" t="s">
        <v>70</v>
      </c>
      <c r="G202" s="44" t="str">
        <f>IF(LEN(Table12_52_034[[#This Row],[Ledger Code]])&gt;3,"AR"&amp;Table12_52_034[[#This Row],[Ledger Code]],"TBC")</f>
        <v>TBC</v>
      </c>
      <c r="H202" s="43"/>
      <c r="I202" s="43"/>
      <c r="J202" s="43"/>
      <c r="K202" s="43"/>
      <c r="L202" s="43"/>
      <c r="M202" s="43"/>
      <c r="N202" s="43"/>
      <c r="O202" s="43"/>
      <c r="P202" s="45">
        <v>0</v>
      </c>
      <c r="Q202" s="45">
        <v>0</v>
      </c>
      <c r="R202" s="45">
        <v>0</v>
      </c>
      <c r="S202" s="45">
        <v>0</v>
      </c>
      <c r="T202" s="45">
        <v>0</v>
      </c>
      <c r="U202" s="45">
        <v>0</v>
      </c>
      <c r="V202" s="45">
        <v>0</v>
      </c>
      <c r="W202" s="45">
        <v>0</v>
      </c>
    </row>
    <row r="203" spans="1:23" hidden="1" x14ac:dyDescent="0.25">
      <c r="A203" s="43">
        <v>1200</v>
      </c>
      <c r="B203" s="43">
        <v>2802</v>
      </c>
      <c r="C203" s="43" t="s">
        <v>529</v>
      </c>
      <c r="D203" s="43" t="s">
        <v>530</v>
      </c>
      <c r="E203" s="43" t="s">
        <v>57</v>
      </c>
      <c r="F203" s="43" t="s">
        <v>70</v>
      </c>
      <c r="G203" s="44" t="str">
        <f>IF(LEN(Table12_52_034[[#This Row],[Ledger Code]])&gt;3,"AR"&amp;Table12_52_034[[#This Row],[Ledger Code]],"TBC")</f>
        <v>AR2802</v>
      </c>
      <c r="H203" s="43"/>
      <c r="I203" s="43"/>
      <c r="J203" s="43"/>
      <c r="K203" s="43"/>
      <c r="L203" s="43"/>
      <c r="M203" s="43"/>
      <c r="N203" s="43"/>
      <c r="O203" s="43"/>
      <c r="P203" s="45">
        <v>0</v>
      </c>
      <c r="Q203" s="45">
        <v>595.04</v>
      </c>
      <c r="R203" s="45">
        <v>330.61999999999995</v>
      </c>
      <c r="S203" s="45">
        <v>-2.8421709430404007E-14</v>
      </c>
      <c r="T203" s="45">
        <v>621.5</v>
      </c>
      <c r="U203" s="45">
        <v>2.8421709430404007E-14</v>
      </c>
      <c r="V203" s="45">
        <v>302.07</v>
      </c>
      <c r="W203" s="45">
        <v>310.92999999999989</v>
      </c>
    </row>
    <row r="204" spans="1:23" hidden="1" x14ac:dyDescent="0.25">
      <c r="A204" s="43">
        <v>5961</v>
      </c>
      <c r="B204" s="43">
        <v>2681</v>
      </c>
      <c r="C204" s="43" t="s">
        <v>531</v>
      </c>
      <c r="D204" s="43" t="s">
        <v>532</v>
      </c>
      <c r="E204" s="43" t="s">
        <v>57</v>
      </c>
      <c r="F204" s="43" t="s">
        <v>70</v>
      </c>
      <c r="G204" s="44" t="str">
        <f>IF(LEN(Table12_52_034[[#This Row],[Ledger Code]])&gt;3,"AR"&amp;Table12_52_034[[#This Row],[Ledger Code]],"TBC")</f>
        <v>AR2681</v>
      </c>
      <c r="H204" s="43"/>
      <c r="I204" s="43"/>
      <c r="J204" s="43"/>
      <c r="K204" s="43"/>
      <c r="L204" s="43"/>
      <c r="M204" s="43"/>
      <c r="N204" s="43"/>
      <c r="O204" s="43"/>
      <c r="P204" s="45">
        <v>0</v>
      </c>
      <c r="Q204" s="45">
        <v>0</v>
      </c>
      <c r="R204" s="45">
        <v>0</v>
      </c>
      <c r="S204" s="45">
        <v>0</v>
      </c>
      <c r="T204" s="45">
        <v>0</v>
      </c>
      <c r="U204" s="45">
        <v>0</v>
      </c>
      <c r="V204" s="45">
        <v>0</v>
      </c>
      <c r="W204" s="45">
        <v>0</v>
      </c>
    </row>
    <row r="205" spans="1:23" hidden="1" x14ac:dyDescent="0.25">
      <c r="A205" s="43">
        <v>1279</v>
      </c>
      <c r="B205" s="43">
        <v>2936</v>
      </c>
      <c r="C205" s="43" t="s">
        <v>533</v>
      </c>
      <c r="D205" s="43" t="s">
        <v>534</v>
      </c>
      <c r="E205" s="43" t="s">
        <v>57</v>
      </c>
      <c r="F205" s="43" t="s">
        <v>70</v>
      </c>
      <c r="G205" s="44" t="str">
        <f>IF(LEN(Table12_52_034[[#This Row],[Ledger Code]])&gt;3,"AR"&amp;Table12_52_034[[#This Row],[Ledger Code]],"TBC")</f>
        <v>AR2936</v>
      </c>
      <c r="H205" s="43"/>
      <c r="I205" s="43"/>
      <c r="J205" s="43"/>
      <c r="K205" s="43"/>
      <c r="L205" s="43"/>
      <c r="M205" s="43"/>
      <c r="N205" s="43"/>
      <c r="O205" s="43"/>
      <c r="P205" s="45">
        <v>0</v>
      </c>
      <c r="Q205" s="45">
        <v>0</v>
      </c>
      <c r="R205" s="45">
        <v>316.57</v>
      </c>
      <c r="S205" s="45">
        <v>214.57000000000005</v>
      </c>
      <c r="T205" s="45">
        <v>873.05</v>
      </c>
      <c r="U205" s="45">
        <v>224.95</v>
      </c>
      <c r="V205" s="45">
        <v>37.900000000000063</v>
      </c>
      <c r="W205" s="45">
        <v>1.7763568394002505E-14</v>
      </c>
    </row>
    <row r="206" spans="1:23" hidden="1" x14ac:dyDescent="0.25">
      <c r="A206" s="43">
        <v>6026</v>
      </c>
      <c r="B206" s="43">
        <v>2679</v>
      </c>
      <c r="C206" s="43" t="s">
        <v>535</v>
      </c>
      <c r="D206" s="43" t="s">
        <v>309</v>
      </c>
      <c r="E206" s="43" t="s">
        <v>57</v>
      </c>
      <c r="F206" s="43" t="s">
        <v>70</v>
      </c>
      <c r="G206" s="44" t="str">
        <f>IF(LEN(Table12_52_034[[#This Row],[Ledger Code]])&gt;3,"AR"&amp;Table12_52_034[[#This Row],[Ledger Code]],"TBC")</f>
        <v>AR2679</v>
      </c>
      <c r="H206" s="43"/>
      <c r="I206" s="43"/>
      <c r="J206" s="43"/>
      <c r="K206" s="43"/>
      <c r="L206" s="43"/>
      <c r="M206" s="43"/>
      <c r="N206" s="43"/>
      <c r="O206" s="43"/>
      <c r="P206" s="45">
        <v>0</v>
      </c>
      <c r="Q206" s="45">
        <v>0</v>
      </c>
      <c r="R206" s="45">
        <v>0</v>
      </c>
      <c r="S206" s="45">
        <v>0</v>
      </c>
      <c r="T206" s="45">
        <v>0</v>
      </c>
      <c r="U206" s="45">
        <v>0</v>
      </c>
      <c r="V206" s="45">
        <v>0</v>
      </c>
      <c r="W206" s="45">
        <v>0</v>
      </c>
    </row>
    <row r="207" spans="1:23" hidden="1" x14ac:dyDescent="0.25">
      <c r="A207" s="43">
        <v>1269</v>
      </c>
      <c r="B207" s="43">
        <v>2905</v>
      </c>
      <c r="C207" s="43" t="s">
        <v>566</v>
      </c>
      <c r="D207" s="43" t="s">
        <v>567</v>
      </c>
      <c r="E207" s="43" t="s">
        <v>57</v>
      </c>
      <c r="F207" s="43" t="s">
        <v>70</v>
      </c>
      <c r="G207" s="44" t="str">
        <f>IF(LEN(Table12_52_034[[#This Row],[Ledger Code]])&gt;3,"AR"&amp;Table12_52_034[[#This Row],[Ledger Code]],"TBC")</f>
        <v>AR2905</v>
      </c>
      <c r="H207" s="43"/>
      <c r="I207" s="43"/>
      <c r="J207" s="43"/>
      <c r="K207" s="43"/>
      <c r="L207" s="43"/>
      <c r="M207" s="43"/>
      <c r="N207" s="43"/>
      <c r="O207" s="43"/>
      <c r="P207" s="45">
        <v>0</v>
      </c>
      <c r="Q207" s="45">
        <v>2209.7600000000002</v>
      </c>
      <c r="R207" s="45">
        <v>2207.5700000000002</v>
      </c>
      <c r="S207" s="45">
        <v>-5600.3899999999985</v>
      </c>
      <c r="T207" s="45">
        <v>10361.099999999999</v>
      </c>
      <c r="U207" s="45">
        <v>2134.92</v>
      </c>
      <c r="V207" s="45">
        <v>1742.690000000001</v>
      </c>
      <c r="W207" s="45">
        <v>2254.5699999999997</v>
      </c>
    </row>
    <row r="208" spans="1:23" hidden="1" x14ac:dyDescent="0.25">
      <c r="A208" s="43">
        <v>1787</v>
      </c>
      <c r="B208" s="43">
        <v>3023</v>
      </c>
      <c r="C208" s="43" t="s">
        <v>536</v>
      </c>
      <c r="D208" s="43" t="s">
        <v>537</v>
      </c>
      <c r="E208" s="43" t="s">
        <v>57</v>
      </c>
      <c r="F208" s="43" t="s">
        <v>70</v>
      </c>
      <c r="G208" s="44" t="str">
        <f>IF(LEN(Table12_52_034[[#This Row],[Ledger Code]])&gt;3,"AR"&amp;Table12_52_034[[#This Row],[Ledger Code]],"TBC")</f>
        <v>AR3023</v>
      </c>
      <c r="H208" s="43"/>
      <c r="I208" s="43"/>
      <c r="J208" s="43"/>
      <c r="K208" s="43"/>
      <c r="L208" s="43"/>
      <c r="M208" s="43"/>
      <c r="N208" s="43"/>
      <c r="O208" s="43"/>
      <c r="P208" s="45">
        <v>584.71</v>
      </c>
      <c r="Q208" s="45">
        <v>1397.4900000000002</v>
      </c>
      <c r="R208" s="45">
        <v>1440.9700000000003</v>
      </c>
      <c r="S208" s="45">
        <v>1212.8000000000002</v>
      </c>
      <c r="T208" s="45">
        <v>1444.2100000000003</v>
      </c>
      <c r="U208" s="45">
        <v>1415.9399999999998</v>
      </c>
      <c r="V208" s="45">
        <v>1300.6099999999994</v>
      </c>
      <c r="W208" s="45">
        <v>574.05999999999995</v>
      </c>
    </row>
    <row r="209" spans="1:23" hidden="1" x14ac:dyDescent="0.25">
      <c r="A209" s="43">
        <v>1765</v>
      </c>
      <c r="B209" s="43">
        <v>3000</v>
      </c>
      <c r="C209" s="43" t="s">
        <v>538</v>
      </c>
      <c r="D209" s="43" t="s">
        <v>539</v>
      </c>
      <c r="E209" s="43" t="s">
        <v>57</v>
      </c>
      <c r="F209" s="43" t="s">
        <v>70</v>
      </c>
      <c r="G209" s="44" t="str">
        <f>IF(LEN(Table12_52_034[[#This Row],[Ledger Code]])&gt;3,"AR"&amp;Table12_52_034[[#This Row],[Ledger Code]],"TBC")</f>
        <v>AR3000</v>
      </c>
      <c r="H209" s="43">
        <v>586</v>
      </c>
      <c r="I209" s="43">
        <v>613</v>
      </c>
      <c r="J209" s="43">
        <v>594</v>
      </c>
      <c r="K209" s="43">
        <v>573</v>
      </c>
      <c r="L209" s="43">
        <v>595</v>
      </c>
      <c r="M209" s="43">
        <v>583</v>
      </c>
      <c r="N209" s="43">
        <v>624</v>
      </c>
      <c r="O209" s="43">
        <v>636</v>
      </c>
      <c r="P209" s="45">
        <v>0</v>
      </c>
      <c r="Q209" s="45">
        <v>3515.05</v>
      </c>
      <c r="R209" s="45">
        <v>6477.130000000001</v>
      </c>
      <c r="S209" s="45">
        <v>1045.9799999999996</v>
      </c>
      <c r="T209" s="45">
        <v>0</v>
      </c>
      <c r="U209" s="45">
        <v>5652.06</v>
      </c>
      <c r="V209" s="45">
        <v>-5652.0599999999995</v>
      </c>
      <c r="W209" s="45">
        <v>2055.48</v>
      </c>
    </row>
    <row r="210" spans="1:23" hidden="1" x14ac:dyDescent="0.25">
      <c r="A210" s="43">
        <v>6055</v>
      </c>
      <c r="B210" s="43" t="s">
        <v>387</v>
      </c>
      <c r="C210" s="43" t="s">
        <v>540</v>
      </c>
      <c r="D210" s="43" t="s">
        <v>541</v>
      </c>
      <c r="E210" s="43" t="s">
        <v>57</v>
      </c>
      <c r="F210" s="43" t="s">
        <v>70</v>
      </c>
      <c r="G210" s="44" t="str">
        <f>IF(LEN(Table12_52_034[[#This Row],[Ledger Code]])&gt;3,"AR"&amp;Table12_52_034[[#This Row],[Ledger Code]],"TBC")</f>
        <v>TBC</v>
      </c>
      <c r="H210" s="43"/>
      <c r="I210" s="43"/>
      <c r="J210" s="43"/>
      <c r="K210" s="43"/>
      <c r="L210" s="43"/>
      <c r="M210" s="43"/>
      <c r="N210" s="43"/>
      <c r="O210" s="43"/>
      <c r="P210" s="45">
        <v>0</v>
      </c>
      <c r="Q210" s="45">
        <v>0</v>
      </c>
      <c r="R210" s="45">
        <v>0</v>
      </c>
      <c r="S210" s="45">
        <v>0</v>
      </c>
      <c r="T210" s="45">
        <v>0</v>
      </c>
      <c r="U210" s="45">
        <v>0</v>
      </c>
      <c r="V210" s="45">
        <v>0</v>
      </c>
      <c r="W210" s="45">
        <v>0</v>
      </c>
    </row>
    <row r="211" spans="1:23" hidden="1" x14ac:dyDescent="0.25">
      <c r="A211" s="43">
        <v>1850</v>
      </c>
      <c r="B211" s="43">
        <v>3064</v>
      </c>
      <c r="C211" s="43" t="s">
        <v>542</v>
      </c>
      <c r="D211" s="43" t="s">
        <v>543</v>
      </c>
      <c r="E211" s="43" t="s">
        <v>57</v>
      </c>
      <c r="F211" s="43" t="s">
        <v>70</v>
      </c>
      <c r="G211" s="44" t="str">
        <f>IF(LEN(Table12_52_034[[#This Row],[Ledger Code]])&gt;3,"AR"&amp;Table12_52_034[[#This Row],[Ledger Code]],"TBC")</f>
        <v>AR3064</v>
      </c>
      <c r="H211" s="43"/>
      <c r="I211" s="43"/>
      <c r="J211" s="43"/>
      <c r="K211" s="43"/>
      <c r="L211" s="43"/>
      <c r="M211" s="43"/>
      <c r="N211" s="43"/>
      <c r="O211" s="43"/>
      <c r="P211" s="45">
        <v>118.5</v>
      </c>
      <c r="Q211" s="45">
        <v>139.47999999999999</v>
      </c>
      <c r="R211" s="45">
        <v>0</v>
      </c>
      <c r="S211" s="45">
        <v>380.11</v>
      </c>
      <c r="T211" s="45">
        <v>60.760000000000005</v>
      </c>
      <c r="U211" s="45">
        <v>117.79000000000002</v>
      </c>
      <c r="V211" s="45">
        <v>111.14999999999993</v>
      </c>
      <c r="W211" s="45">
        <v>-2.8421709430404007E-14</v>
      </c>
    </row>
    <row r="212" spans="1:23" hidden="1" x14ac:dyDescent="0.25">
      <c r="A212" s="43">
        <v>1820</v>
      </c>
      <c r="B212" s="43">
        <v>3106</v>
      </c>
      <c r="C212" s="43" t="s">
        <v>544</v>
      </c>
      <c r="D212" s="43" t="s">
        <v>545</v>
      </c>
      <c r="E212" s="43" t="s">
        <v>57</v>
      </c>
      <c r="F212" s="43" t="s">
        <v>70</v>
      </c>
      <c r="G212" s="44" t="str">
        <f>IF(LEN(Table12_52_034[[#This Row],[Ledger Code]])&gt;3,"AR"&amp;Table12_52_034[[#This Row],[Ledger Code]],"TBC")</f>
        <v>AR3106</v>
      </c>
      <c r="H212" s="43"/>
      <c r="I212" s="43"/>
      <c r="J212" s="43"/>
      <c r="K212" s="43"/>
      <c r="L212" s="43"/>
      <c r="M212" s="43"/>
      <c r="N212" s="43"/>
      <c r="O212" s="43"/>
      <c r="P212" s="45">
        <v>0</v>
      </c>
      <c r="Q212" s="45">
        <v>897.8</v>
      </c>
      <c r="R212" s="45">
        <v>814.58999999999992</v>
      </c>
      <c r="S212" s="45">
        <v>716.05</v>
      </c>
      <c r="T212" s="45">
        <v>959.59999999999991</v>
      </c>
      <c r="U212" s="45">
        <v>1053.2600000000002</v>
      </c>
      <c r="V212" s="45">
        <v>1172.9100000000003</v>
      </c>
      <c r="W212" s="45">
        <v>1527.4599999999996</v>
      </c>
    </row>
    <row r="213" spans="1:23" hidden="1" x14ac:dyDescent="0.25">
      <c r="A213" s="43">
        <v>3177</v>
      </c>
      <c r="B213" s="43">
        <v>3753</v>
      </c>
      <c r="C213" s="43" t="s">
        <v>546</v>
      </c>
      <c r="D213" s="43" t="s">
        <v>547</v>
      </c>
      <c r="E213" s="43" t="s">
        <v>57</v>
      </c>
      <c r="F213" s="43" t="s">
        <v>548</v>
      </c>
      <c r="G213" s="44" t="str">
        <f>IF(LEN(Table12_52_034[[#This Row],[Ledger Code]])&gt;3,"AR"&amp;Table12_52_034[[#This Row],[Ledger Code]],"TBC")</f>
        <v>AR3753</v>
      </c>
      <c r="H213" s="43"/>
      <c r="I213" s="43"/>
      <c r="J213" s="43"/>
      <c r="K213" s="43"/>
      <c r="L213" s="43"/>
      <c r="M213" s="43"/>
      <c r="N213" s="43"/>
      <c r="O213" s="43"/>
      <c r="P213" s="45">
        <v>0</v>
      </c>
      <c r="Q213" s="45">
        <v>0</v>
      </c>
      <c r="R213" s="45">
        <v>0</v>
      </c>
      <c r="S213" s="45">
        <v>0</v>
      </c>
      <c r="T213" s="45">
        <v>0</v>
      </c>
      <c r="U213" s="45">
        <v>0</v>
      </c>
      <c r="V213" s="45">
        <v>0</v>
      </c>
      <c r="W213" s="45">
        <v>0</v>
      </c>
    </row>
    <row r="214" spans="1:23" hidden="1" x14ac:dyDescent="0.25">
      <c r="A214" s="43" t="s">
        <v>627</v>
      </c>
      <c r="B214" s="43" t="s">
        <v>387</v>
      </c>
      <c r="C214" s="43" t="s">
        <v>549</v>
      </c>
      <c r="D214" s="43" t="s">
        <v>550</v>
      </c>
      <c r="E214" s="43" t="s">
        <v>57</v>
      </c>
      <c r="F214" s="43" t="s">
        <v>548</v>
      </c>
      <c r="G214" s="44" t="str">
        <f>IF(LEN(Table12_52_034[[#This Row],[Ledger Code]])&gt;3,"AR"&amp;Table12_52_034[[#This Row],[Ledger Code]],"TBC")</f>
        <v>TBC</v>
      </c>
      <c r="H214" s="43"/>
      <c r="I214" s="43"/>
      <c r="J214" s="43"/>
      <c r="K214" s="43"/>
      <c r="L214" s="43"/>
      <c r="M214" s="43"/>
      <c r="N214" s="43"/>
      <c r="O214" s="43"/>
      <c r="P214" s="45">
        <v>0</v>
      </c>
      <c r="Q214" s="45">
        <v>0</v>
      </c>
      <c r="R214" s="45">
        <v>0</v>
      </c>
      <c r="S214" s="45">
        <v>0</v>
      </c>
      <c r="T214" s="45">
        <v>0</v>
      </c>
      <c r="U214" s="45">
        <v>0</v>
      </c>
      <c r="V214" s="45">
        <v>0</v>
      </c>
      <c r="W214" s="45">
        <v>0</v>
      </c>
    </row>
    <row r="215" spans="1:23" hidden="1" x14ac:dyDescent="0.25">
      <c r="A215" s="43">
        <v>3386</v>
      </c>
      <c r="B215" s="43">
        <v>3688</v>
      </c>
      <c r="C215" s="43" t="s">
        <v>551</v>
      </c>
      <c r="D215" s="43" t="s">
        <v>552</v>
      </c>
      <c r="E215" s="43" t="s">
        <v>57</v>
      </c>
      <c r="F215" s="43" t="s">
        <v>548</v>
      </c>
      <c r="G215" s="44" t="str">
        <f>IF(LEN(Table12_52_034[[#This Row],[Ledger Code]])&gt;3,"AR"&amp;Table12_52_034[[#This Row],[Ledger Code]],"TBC")</f>
        <v>AR3688</v>
      </c>
      <c r="H215" s="43"/>
      <c r="I215" s="43"/>
      <c r="J215" s="43"/>
      <c r="K215" s="43"/>
      <c r="L215" s="43"/>
      <c r="M215" s="43"/>
      <c r="N215" s="43"/>
      <c r="O215" s="43"/>
      <c r="P215" s="45">
        <v>2316.56</v>
      </c>
      <c r="Q215" s="45">
        <v>2971.78</v>
      </c>
      <c r="R215" s="45">
        <v>0</v>
      </c>
      <c r="S215" s="45">
        <v>2721.62</v>
      </c>
      <c r="T215" s="45">
        <v>3504.7</v>
      </c>
      <c r="U215" s="45">
        <v>3048.46</v>
      </c>
      <c r="V215" s="45">
        <v>2769.29</v>
      </c>
      <c r="W215" s="45">
        <v>2860.4699999999993</v>
      </c>
    </row>
    <row r="216" spans="1:23" hidden="1" x14ac:dyDescent="0.25">
      <c r="A216" s="43">
        <v>3592</v>
      </c>
      <c r="B216" s="43">
        <v>3901</v>
      </c>
      <c r="C216" s="43" t="s">
        <v>553</v>
      </c>
      <c r="D216" s="43" t="s">
        <v>554</v>
      </c>
      <c r="E216" s="43" t="s">
        <v>57</v>
      </c>
      <c r="F216" s="43" t="s">
        <v>548</v>
      </c>
      <c r="G216" s="44" t="str">
        <f>IF(LEN(Table12_52_034[[#This Row],[Ledger Code]])&gt;3,"AR"&amp;Table12_52_034[[#This Row],[Ledger Code]],"TBC")</f>
        <v>AR3901</v>
      </c>
      <c r="H216" s="43"/>
      <c r="I216" s="43"/>
      <c r="J216" s="43"/>
      <c r="K216" s="43"/>
      <c r="L216" s="43"/>
      <c r="M216" s="43"/>
      <c r="N216" s="43"/>
      <c r="O216" s="43"/>
      <c r="P216" s="45">
        <v>0</v>
      </c>
      <c r="Q216" s="45">
        <v>0</v>
      </c>
      <c r="R216" s="45">
        <v>0</v>
      </c>
      <c r="S216" s="45">
        <v>0</v>
      </c>
      <c r="T216" s="45">
        <v>0</v>
      </c>
      <c r="U216" s="45">
        <v>0</v>
      </c>
      <c r="V216" s="45">
        <v>0</v>
      </c>
      <c r="W216" s="45">
        <v>0</v>
      </c>
    </row>
    <row r="217" spans="1:23" hidden="1" x14ac:dyDescent="0.25">
      <c r="A217" s="43">
        <v>3706</v>
      </c>
      <c r="B217" s="43">
        <v>3916</v>
      </c>
      <c r="C217" s="43" t="s">
        <v>555</v>
      </c>
      <c r="D217" s="43" t="s">
        <v>556</v>
      </c>
      <c r="E217" s="43" t="s">
        <v>57</v>
      </c>
      <c r="F217" s="43" t="s">
        <v>548</v>
      </c>
      <c r="G217" s="44" t="str">
        <f>IF(LEN(Table12_52_034[[#This Row],[Ledger Code]])&gt;3,"AR"&amp;Table12_52_034[[#This Row],[Ledger Code]],"TBC")</f>
        <v>AR3916</v>
      </c>
      <c r="H217" s="43"/>
      <c r="I217" s="43"/>
      <c r="J217" s="43"/>
      <c r="K217" s="43"/>
      <c r="L217" s="43"/>
      <c r="M217" s="43"/>
      <c r="N217" s="43"/>
      <c r="O217" s="43"/>
      <c r="P217" s="45">
        <v>0</v>
      </c>
      <c r="Q217" s="45">
        <v>0</v>
      </c>
      <c r="R217" s="45">
        <v>0</v>
      </c>
      <c r="S217" s="45">
        <v>0</v>
      </c>
      <c r="T217" s="45">
        <v>0</v>
      </c>
      <c r="U217" s="45">
        <v>0</v>
      </c>
      <c r="V217" s="45">
        <v>0</v>
      </c>
      <c r="W217" s="45">
        <v>0</v>
      </c>
    </row>
    <row r="218" spans="1:23" hidden="1" x14ac:dyDescent="0.25">
      <c r="A218" s="43">
        <v>3718</v>
      </c>
      <c r="B218" s="43">
        <v>3965</v>
      </c>
      <c r="C218" s="43" t="s">
        <v>557</v>
      </c>
      <c r="D218" s="43" t="s">
        <v>558</v>
      </c>
      <c r="E218" s="43" t="s">
        <v>57</v>
      </c>
      <c r="F218" s="43" t="s">
        <v>548</v>
      </c>
      <c r="G218" s="44" t="str">
        <f>IF(LEN(Table12_52_034[[#This Row],[Ledger Code]])&gt;3,"AR"&amp;Table12_52_034[[#This Row],[Ledger Code]],"TBC")</f>
        <v>AR3965</v>
      </c>
      <c r="H218" s="43"/>
      <c r="I218" s="43"/>
      <c r="J218" s="43"/>
      <c r="K218" s="43"/>
      <c r="L218" s="43"/>
      <c r="M218" s="43"/>
      <c r="N218" s="43"/>
      <c r="O218" s="43"/>
      <c r="P218" s="45">
        <v>0</v>
      </c>
      <c r="Q218" s="45">
        <v>312.5800000000001</v>
      </c>
      <c r="R218" s="45">
        <v>3438.3799999999997</v>
      </c>
      <c r="S218" s="45">
        <v>2342.52</v>
      </c>
      <c r="T218" s="45">
        <v>-1522.0100000000002</v>
      </c>
      <c r="U218" s="45">
        <v>0</v>
      </c>
      <c r="V218" s="45">
        <v>0</v>
      </c>
      <c r="W218" s="45">
        <v>0</v>
      </c>
    </row>
    <row r="219" spans="1:23" hidden="1" x14ac:dyDescent="0.25">
      <c r="A219" s="43">
        <v>3775</v>
      </c>
      <c r="B219" s="43">
        <v>3876</v>
      </c>
      <c r="C219" s="43" t="s">
        <v>559</v>
      </c>
      <c r="D219" s="43" t="s">
        <v>560</v>
      </c>
      <c r="E219" s="43" t="s">
        <v>57</v>
      </c>
      <c r="F219" s="43" t="s">
        <v>548</v>
      </c>
      <c r="G219" s="44" t="str">
        <f>IF(LEN(Table12_52_034[[#This Row],[Ledger Code]])&gt;3,"AR"&amp;Table12_52_034[[#This Row],[Ledger Code]],"TBC")</f>
        <v>AR3876</v>
      </c>
      <c r="H219" s="43"/>
      <c r="I219" s="43"/>
      <c r="J219" s="43"/>
      <c r="K219" s="43"/>
      <c r="L219" s="43"/>
      <c r="M219" s="43"/>
      <c r="N219" s="43"/>
      <c r="O219" s="43"/>
      <c r="P219" s="45">
        <v>0</v>
      </c>
      <c r="Q219" s="45">
        <v>0</v>
      </c>
      <c r="R219" s="45">
        <v>4700.0200000000004</v>
      </c>
      <c r="S219" s="45">
        <v>-4700.0200000000004</v>
      </c>
      <c r="T219" s="45">
        <v>0</v>
      </c>
      <c r="U219" s="45">
        <v>0</v>
      </c>
      <c r="V219" s="45">
        <v>0</v>
      </c>
      <c r="W219" s="45">
        <v>0</v>
      </c>
    </row>
    <row r="220" spans="1:23" hidden="1" x14ac:dyDescent="0.25">
      <c r="A220" s="43">
        <v>3765</v>
      </c>
      <c r="B220" s="43">
        <v>3868</v>
      </c>
      <c r="C220" s="43" t="s">
        <v>568</v>
      </c>
      <c r="D220" s="43" t="s">
        <v>569</v>
      </c>
      <c r="E220" s="43" t="s">
        <v>57</v>
      </c>
      <c r="F220" s="43" t="s">
        <v>548</v>
      </c>
      <c r="G220" s="44" t="str">
        <f>IF(LEN(Table12_52_034[[#This Row],[Ledger Code]])&gt;3,"AR"&amp;Table12_52_034[[#This Row],[Ledger Code]],"TBC")</f>
        <v>AR3868</v>
      </c>
      <c r="H220" s="43"/>
      <c r="I220" s="43"/>
      <c r="J220" s="43"/>
      <c r="K220" s="43"/>
      <c r="L220" s="43"/>
      <c r="M220" s="43"/>
      <c r="N220" s="43"/>
      <c r="O220" s="43"/>
      <c r="P220" s="45">
        <v>0</v>
      </c>
      <c r="Q220" s="45">
        <v>0</v>
      </c>
      <c r="R220" s="45">
        <v>0</v>
      </c>
      <c r="S220" s="45">
        <v>0</v>
      </c>
      <c r="T220" s="45">
        <v>0</v>
      </c>
      <c r="U220" s="45">
        <v>0</v>
      </c>
      <c r="V220" s="45">
        <v>0</v>
      </c>
      <c r="W220" s="45">
        <v>0</v>
      </c>
    </row>
    <row r="221" spans="1:23" hidden="1" x14ac:dyDescent="0.25">
      <c r="A221" s="43">
        <v>3086</v>
      </c>
      <c r="B221" s="43">
        <v>8443</v>
      </c>
      <c r="C221" s="43" t="s">
        <v>571</v>
      </c>
      <c r="D221" s="43" t="s">
        <v>572</v>
      </c>
      <c r="E221" s="43" t="s">
        <v>26</v>
      </c>
      <c r="F221" s="43" t="s">
        <v>573</v>
      </c>
      <c r="G221" s="44" t="str">
        <f>IF(LEN(Table12_52_034[[#This Row],[Ledger Code]])&gt;3,"AR"&amp;Table12_52_034[[#This Row],[Ledger Code]],"TBC")</f>
        <v>AR8443</v>
      </c>
      <c r="H221" s="43"/>
      <c r="I221" s="43"/>
      <c r="J221" s="43"/>
      <c r="K221" s="43"/>
      <c r="L221" s="43"/>
      <c r="M221" s="43"/>
      <c r="N221" s="43"/>
      <c r="O221" s="43"/>
      <c r="P221" s="45">
        <v>0</v>
      </c>
      <c r="Q221" s="45">
        <v>0</v>
      </c>
      <c r="R221" s="45">
        <v>468.99000000000007</v>
      </c>
      <c r="S221" s="45">
        <v>400.07999999999987</v>
      </c>
      <c r="T221" s="45">
        <v>187.60000000000002</v>
      </c>
      <c r="U221" s="45">
        <v>292.04000000000008</v>
      </c>
      <c r="V221" s="45">
        <v>162.84999999999997</v>
      </c>
      <c r="W221" s="45">
        <v>326.80999999999995</v>
      </c>
    </row>
    <row r="222" spans="1:23" hidden="1" x14ac:dyDescent="0.25">
      <c r="A222" s="43">
        <v>3105</v>
      </c>
      <c r="B222" s="43">
        <v>8461</v>
      </c>
      <c r="C222" s="43" t="s">
        <v>574</v>
      </c>
      <c r="D222" s="43" t="s">
        <v>575</v>
      </c>
      <c r="E222" s="43" t="s">
        <v>26</v>
      </c>
      <c r="F222" s="43" t="s">
        <v>573</v>
      </c>
      <c r="G222" s="44" t="str">
        <f>IF(LEN(Table12_52_034[[#This Row],[Ledger Code]])&gt;3,"AR"&amp;Table12_52_034[[#This Row],[Ledger Code]],"TBC")</f>
        <v>AR8461</v>
      </c>
      <c r="H222" s="43"/>
      <c r="I222" s="43"/>
      <c r="J222" s="43"/>
      <c r="K222" s="43"/>
      <c r="L222" s="43"/>
      <c r="M222" s="43"/>
      <c r="N222" s="43"/>
      <c r="O222" s="43"/>
      <c r="P222" s="45">
        <v>0</v>
      </c>
      <c r="Q222" s="45">
        <v>0</v>
      </c>
      <c r="R222" s="45">
        <v>0</v>
      </c>
      <c r="S222" s="45">
        <v>15660.75</v>
      </c>
      <c r="T222" s="45">
        <v>0</v>
      </c>
      <c r="U222" s="45">
        <v>0</v>
      </c>
      <c r="V222" s="45">
        <v>0</v>
      </c>
      <c r="W222" s="45">
        <v>0</v>
      </c>
    </row>
    <row r="223" spans="1:23" hidden="1" x14ac:dyDescent="0.25">
      <c r="A223" s="43">
        <v>3117</v>
      </c>
      <c r="B223" s="43">
        <v>8564</v>
      </c>
      <c r="C223" s="43" t="s">
        <v>576</v>
      </c>
      <c r="D223" s="43" t="s">
        <v>577</v>
      </c>
      <c r="E223" s="43" t="s">
        <v>26</v>
      </c>
      <c r="F223" s="43" t="s">
        <v>573</v>
      </c>
      <c r="G223" s="44" t="str">
        <f>IF(LEN(Table12_52_034[[#This Row],[Ledger Code]])&gt;3,"AR"&amp;Table12_52_034[[#This Row],[Ledger Code]],"TBC")</f>
        <v>AR8564</v>
      </c>
      <c r="H223" s="43"/>
      <c r="I223" s="43"/>
      <c r="J223" s="43"/>
      <c r="K223" s="43"/>
      <c r="L223" s="43"/>
      <c r="M223" s="43"/>
      <c r="N223" s="43"/>
      <c r="O223" s="43"/>
      <c r="P223" s="45">
        <v>0</v>
      </c>
      <c r="Q223" s="45">
        <v>0</v>
      </c>
      <c r="R223" s="45">
        <v>0</v>
      </c>
      <c r="S223" s="45">
        <v>0</v>
      </c>
      <c r="T223" s="45">
        <v>0</v>
      </c>
      <c r="U223" s="45">
        <v>0</v>
      </c>
      <c r="V223" s="45">
        <v>0</v>
      </c>
      <c r="W223" s="45">
        <v>0</v>
      </c>
    </row>
    <row r="224" spans="1:23" hidden="1" x14ac:dyDescent="0.25">
      <c r="A224" s="43">
        <v>5132</v>
      </c>
      <c r="B224" s="43">
        <v>8618</v>
      </c>
      <c r="C224" s="43" t="s">
        <v>578</v>
      </c>
      <c r="D224" s="43" t="s">
        <v>579</v>
      </c>
      <c r="E224" s="43" t="s">
        <v>26</v>
      </c>
      <c r="F224" s="43" t="s">
        <v>573</v>
      </c>
      <c r="G224" s="44" t="str">
        <f>IF(LEN(Table12_52_034[[#This Row],[Ledger Code]])&gt;3,"AR"&amp;Table12_52_034[[#This Row],[Ledger Code]],"TBC")</f>
        <v>AR8618</v>
      </c>
      <c r="H224" s="43"/>
      <c r="I224" s="43"/>
      <c r="J224" s="43"/>
      <c r="K224" s="43"/>
      <c r="L224" s="43"/>
      <c r="M224" s="43"/>
      <c r="N224" s="43"/>
      <c r="O224" s="43"/>
      <c r="P224" s="45">
        <v>0</v>
      </c>
      <c r="Q224" s="45">
        <v>0</v>
      </c>
      <c r="R224" s="45">
        <v>0</v>
      </c>
      <c r="S224" s="45">
        <v>0</v>
      </c>
      <c r="T224" s="45">
        <v>186.7</v>
      </c>
      <c r="U224" s="45">
        <v>0</v>
      </c>
      <c r="V224" s="45">
        <v>0</v>
      </c>
      <c r="W224" s="45">
        <v>0</v>
      </c>
    </row>
    <row r="225" spans="1:23" hidden="1" x14ac:dyDescent="0.25">
      <c r="A225" s="43">
        <v>5141</v>
      </c>
      <c r="B225" s="43">
        <v>8661</v>
      </c>
      <c r="C225" s="43" t="s">
        <v>580</v>
      </c>
      <c r="D225" s="43" t="s">
        <v>581</v>
      </c>
      <c r="E225" s="43" t="s">
        <v>26</v>
      </c>
      <c r="F225" s="43" t="s">
        <v>573</v>
      </c>
      <c r="G225" s="44" t="str">
        <f>IF(LEN(Table12_52_034[[#This Row],[Ledger Code]])&gt;3,"AR"&amp;Table12_52_034[[#This Row],[Ledger Code]],"TBC")</f>
        <v>AR8661</v>
      </c>
      <c r="H225" s="43"/>
      <c r="I225" s="43"/>
      <c r="J225" s="43"/>
      <c r="K225" s="43"/>
      <c r="L225" s="43"/>
      <c r="M225" s="43"/>
      <c r="N225" s="43"/>
      <c r="O225" s="43"/>
      <c r="P225" s="45">
        <v>0</v>
      </c>
      <c r="Q225" s="45">
        <v>0</v>
      </c>
      <c r="R225" s="45">
        <v>0</v>
      </c>
      <c r="S225" s="45">
        <v>0</v>
      </c>
      <c r="T225" s="45">
        <v>794.38999999999987</v>
      </c>
      <c r="U225" s="45">
        <v>0</v>
      </c>
      <c r="V225" s="45">
        <v>427.77</v>
      </c>
      <c r="W225" s="45">
        <v>0</v>
      </c>
    </row>
    <row r="226" spans="1:23" hidden="1" x14ac:dyDescent="0.25">
      <c r="A226" s="43">
        <v>5176</v>
      </c>
      <c r="B226" s="43">
        <v>8688</v>
      </c>
      <c r="C226" s="43" t="s">
        <v>582</v>
      </c>
      <c r="D226" s="43" t="s">
        <v>583</v>
      </c>
      <c r="E226" s="43" t="s">
        <v>26</v>
      </c>
      <c r="F226" s="43" t="s">
        <v>573</v>
      </c>
      <c r="G226" s="44" t="str">
        <f>IF(LEN(Table12_52_034[[#This Row],[Ledger Code]])&gt;3,"AR"&amp;Table12_52_034[[#This Row],[Ledger Code]],"TBC")</f>
        <v>AR8688</v>
      </c>
      <c r="H226" s="43"/>
      <c r="I226" s="43"/>
      <c r="J226" s="43"/>
      <c r="K226" s="43"/>
      <c r="L226" s="43"/>
      <c r="M226" s="43"/>
      <c r="N226" s="43"/>
      <c r="O226" s="43"/>
      <c r="P226" s="45">
        <v>0</v>
      </c>
      <c r="Q226" s="45">
        <v>0</v>
      </c>
      <c r="R226" s="45">
        <v>0</v>
      </c>
      <c r="S226" s="45">
        <v>0</v>
      </c>
      <c r="T226" s="45">
        <v>0</v>
      </c>
      <c r="U226" s="45">
        <v>0</v>
      </c>
      <c r="V226" s="45">
        <v>0</v>
      </c>
      <c r="W226" s="45">
        <v>0</v>
      </c>
    </row>
    <row r="227" spans="1:23" hidden="1" x14ac:dyDescent="0.25">
      <c r="A227" s="43">
        <v>5301</v>
      </c>
      <c r="B227" s="43">
        <v>8897</v>
      </c>
      <c r="C227" s="43" t="s">
        <v>584</v>
      </c>
      <c r="D227" s="43" t="s">
        <v>585</v>
      </c>
      <c r="E227" s="43" t="s">
        <v>26</v>
      </c>
      <c r="F227" s="43" t="s">
        <v>570</v>
      </c>
      <c r="G227" s="44" t="str">
        <f>IF(LEN(Table12_52_034[[#This Row],[Ledger Code]])&gt;3,"AR"&amp;Table12_52_034[[#This Row],[Ledger Code]],"TBC")</f>
        <v>AR8897</v>
      </c>
      <c r="H227" s="43"/>
      <c r="I227" s="43"/>
      <c r="J227" s="43"/>
      <c r="K227" s="43"/>
      <c r="L227" s="43"/>
      <c r="M227" s="43"/>
      <c r="N227" s="43"/>
      <c r="O227" s="43"/>
      <c r="P227" s="45">
        <v>0</v>
      </c>
      <c r="Q227" s="45">
        <v>0</v>
      </c>
      <c r="R227" s="45">
        <v>0</v>
      </c>
      <c r="S227" s="45">
        <v>0</v>
      </c>
      <c r="T227" s="45">
        <v>0</v>
      </c>
      <c r="U227" s="45">
        <v>0</v>
      </c>
      <c r="V227" s="45">
        <v>0</v>
      </c>
      <c r="W227" s="45">
        <v>0</v>
      </c>
    </row>
    <row r="228" spans="1:23" hidden="1" x14ac:dyDescent="0.25">
      <c r="A228" s="43">
        <v>5226</v>
      </c>
      <c r="B228" s="43">
        <v>8743</v>
      </c>
      <c r="C228" s="43" t="s">
        <v>586</v>
      </c>
      <c r="D228" s="43" t="s">
        <v>587</v>
      </c>
      <c r="E228" s="43" t="s">
        <v>26</v>
      </c>
      <c r="F228" s="43" t="s">
        <v>573</v>
      </c>
      <c r="G228" s="44" t="str">
        <f>IF(LEN(Table12_52_034[[#This Row],[Ledger Code]])&gt;3,"AR"&amp;Table12_52_034[[#This Row],[Ledger Code]],"TBC")</f>
        <v>AR8743</v>
      </c>
      <c r="H228" s="43"/>
      <c r="I228" s="43"/>
      <c r="J228" s="43"/>
      <c r="K228" s="43"/>
      <c r="L228" s="43"/>
      <c r="M228" s="43"/>
      <c r="N228" s="43"/>
      <c r="O228" s="43"/>
      <c r="P228" s="45">
        <v>0</v>
      </c>
      <c r="Q228" s="45">
        <v>1691.25</v>
      </c>
      <c r="R228" s="45">
        <v>0</v>
      </c>
      <c r="S228" s="45">
        <v>2434.13</v>
      </c>
      <c r="T228" s="45">
        <v>0</v>
      </c>
      <c r="U228" s="45">
        <v>1698.1899999999996</v>
      </c>
      <c r="V228" s="45">
        <v>0</v>
      </c>
      <c r="W228" s="45">
        <v>1598.01</v>
      </c>
    </row>
    <row r="229" spans="1:23" hidden="1" x14ac:dyDescent="0.25">
      <c r="A229" s="43">
        <v>5374</v>
      </c>
      <c r="B229" s="43">
        <v>8841</v>
      </c>
      <c r="C229" s="43" t="s">
        <v>588</v>
      </c>
      <c r="D229" s="43" t="s">
        <v>589</v>
      </c>
      <c r="E229" s="43" t="s">
        <v>26</v>
      </c>
      <c r="F229" s="43" t="s">
        <v>570</v>
      </c>
      <c r="G229" s="44" t="str">
        <f>IF(LEN(Table12_52_034[[#This Row],[Ledger Code]])&gt;3,"AR"&amp;Table12_52_034[[#This Row],[Ledger Code]],"TBC")</f>
        <v>AR8841</v>
      </c>
      <c r="H229" s="43"/>
      <c r="I229" s="43"/>
      <c r="J229" s="43"/>
      <c r="K229" s="43"/>
      <c r="L229" s="43"/>
      <c r="M229" s="43"/>
      <c r="N229" s="43"/>
      <c r="O229" s="43"/>
      <c r="P229" s="45">
        <v>0</v>
      </c>
      <c r="Q229" s="45">
        <v>0</v>
      </c>
      <c r="R229" s="45">
        <v>0</v>
      </c>
      <c r="S229" s="45">
        <v>-330.24</v>
      </c>
      <c r="T229" s="45">
        <v>0</v>
      </c>
      <c r="U229" s="45">
        <v>0</v>
      </c>
      <c r="V229" s="45">
        <v>0</v>
      </c>
      <c r="W229" s="45">
        <v>0</v>
      </c>
    </row>
    <row r="230" spans="1:23" hidden="1" x14ac:dyDescent="0.25">
      <c r="A230" s="43">
        <v>5408</v>
      </c>
      <c r="B230" s="43">
        <v>9108</v>
      </c>
      <c r="C230" s="43" t="s">
        <v>590</v>
      </c>
      <c r="D230" s="43" t="s">
        <v>591</v>
      </c>
      <c r="E230" s="43" t="s">
        <v>26</v>
      </c>
      <c r="F230" s="43" t="s">
        <v>592</v>
      </c>
      <c r="G230" s="44" t="str">
        <f>IF(LEN(Table12_52_034[[#This Row],[Ledger Code]])&gt;3,"AR"&amp;Table12_52_034[[#This Row],[Ledger Code]],"TBC")</f>
        <v>AR9108</v>
      </c>
      <c r="H230" s="43"/>
      <c r="I230" s="43"/>
      <c r="J230" s="43"/>
      <c r="K230" s="43"/>
      <c r="L230" s="43"/>
      <c r="M230" s="43"/>
      <c r="N230" s="43"/>
      <c r="O230" s="43"/>
      <c r="P230" s="45">
        <v>0</v>
      </c>
      <c r="Q230" s="45">
        <v>0</v>
      </c>
      <c r="R230" s="45">
        <v>0</v>
      </c>
      <c r="S230" s="45">
        <v>0</v>
      </c>
      <c r="T230" s="45">
        <v>0</v>
      </c>
      <c r="U230" s="45">
        <v>0</v>
      </c>
      <c r="V230" s="45">
        <v>0</v>
      </c>
      <c r="W230" s="45">
        <v>0</v>
      </c>
    </row>
    <row r="231" spans="1:23" hidden="1" x14ac:dyDescent="0.25">
      <c r="A231" s="43">
        <v>5459</v>
      </c>
      <c r="B231" s="43">
        <v>9105</v>
      </c>
      <c r="C231" s="43" t="s">
        <v>593</v>
      </c>
      <c r="D231" s="43" t="s">
        <v>594</v>
      </c>
      <c r="E231" s="43" t="s">
        <v>26</v>
      </c>
      <c r="F231" s="43" t="s">
        <v>592</v>
      </c>
      <c r="G231" s="44" t="str">
        <f>IF(LEN(Table12_52_034[[#This Row],[Ledger Code]])&gt;3,"AR"&amp;Table12_52_034[[#This Row],[Ledger Code]],"TBC")</f>
        <v>AR9105</v>
      </c>
      <c r="H231" s="43"/>
      <c r="I231" s="43"/>
      <c r="J231" s="43"/>
      <c r="K231" s="43"/>
      <c r="L231" s="43"/>
      <c r="M231" s="43"/>
      <c r="N231" s="43"/>
      <c r="O231" s="43"/>
      <c r="P231" s="45">
        <v>0</v>
      </c>
      <c r="Q231" s="45">
        <v>0</v>
      </c>
      <c r="R231" s="45">
        <v>0</v>
      </c>
      <c r="S231" s="45">
        <v>0</v>
      </c>
      <c r="T231" s="45">
        <v>0</v>
      </c>
      <c r="U231" s="45">
        <v>0</v>
      </c>
      <c r="V231" s="45">
        <v>0</v>
      </c>
      <c r="W231" s="45">
        <v>0</v>
      </c>
    </row>
    <row r="232" spans="1:23" hidden="1" x14ac:dyDescent="0.25">
      <c r="A232" s="43">
        <v>5494</v>
      </c>
      <c r="B232" s="43">
        <v>9114</v>
      </c>
      <c r="C232" s="43" t="s">
        <v>595</v>
      </c>
      <c r="D232" s="43" t="s">
        <v>596</v>
      </c>
      <c r="E232" s="43" t="s">
        <v>26</v>
      </c>
      <c r="F232" s="43" t="s">
        <v>592</v>
      </c>
      <c r="G232" s="44" t="str">
        <f>IF(LEN(Table12_52_034[[#This Row],[Ledger Code]])&gt;3,"AR"&amp;Table12_52_034[[#This Row],[Ledger Code]],"TBC")</f>
        <v>AR9114</v>
      </c>
      <c r="H232" s="43"/>
      <c r="I232" s="43"/>
      <c r="J232" s="43"/>
      <c r="K232" s="43"/>
      <c r="L232" s="43"/>
      <c r="M232" s="43"/>
      <c r="N232" s="43"/>
      <c r="O232" s="43"/>
      <c r="P232" s="45">
        <v>0</v>
      </c>
      <c r="Q232" s="45">
        <v>0</v>
      </c>
      <c r="R232" s="45">
        <v>0</v>
      </c>
      <c r="S232" s="45">
        <v>0</v>
      </c>
      <c r="T232" s="45">
        <v>0</v>
      </c>
      <c r="U232" s="45">
        <v>0</v>
      </c>
      <c r="V232" s="45">
        <v>0</v>
      </c>
      <c r="W232" s="45">
        <v>0</v>
      </c>
    </row>
    <row r="233" spans="1:23" hidden="1" x14ac:dyDescent="0.25">
      <c r="A233" s="43">
        <v>5564</v>
      </c>
      <c r="B233" s="43">
        <v>8926</v>
      </c>
      <c r="C233" s="43" t="s">
        <v>597</v>
      </c>
      <c r="D233" s="43" t="s">
        <v>598</v>
      </c>
      <c r="E233" s="43" t="s">
        <v>26</v>
      </c>
      <c r="F233" s="43" t="s">
        <v>592</v>
      </c>
      <c r="G233" s="44" t="str">
        <f>IF(LEN(Table12_52_034[[#This Row],[Ledger Code]])&gt;3,"AR"&amp;Table12_52_034[[#This Row],[Ledger Code]],"TBC")</f>
        <v>AR8926</v>
      </c>
      <c r="H233" s="43"/>
      <c r="I233" s="43"/>
      <c r="J233" s="43"/>
      <c r="K233" s="43"/>
      <c r="L233" s="43"/>
      <c r="M233" s="43"/>
      <c r="N233" s="43"/>
      <c r="O233" s="43"/>
      <c r="P233" s="45">
        <v>0</v>
      </c>
      <c r="Q233" s="45">
        <v>0</v>
      </c>
      <c r="R233" s="45">
        <v>0</v>
      </c>
      <c r="S233" s="45">
        <v>0</v>
      </c>
      <c r="T233" s="45">
        <v>0</v>
      </c>
      <c r="U233" s="45">
        <v>0</v>
      </c>
      <c r="V233" s="45">
        <v>0</v>
      </c>
      <c r="W233" s="45">
        <v>0</v>
      </c>
    </row>
    <row r="234" spans="1:23" hidden="1" x14ac:dyDescent="0.25">
      <c r="A234" s="43">
        <v>5569</v>
      </c>
      <c r="B234" s="43">
        <v>9051</v>
      </c>
      <c r="C234" s="43" t="s">
        <v>599</v>
      </c>
      <c r="D234" s="43" t="s">
        <v>600</v>
      </c>
      <c r="E234" s="43" t="s">
        <v>26</v>
      </c>
      <c r="F234" s="43" t="s">
        <v>592</v>
      </c>
      <c r="G234" s="44" t="str">
        <f>IF(LEN(Table12_52_034[[#This Row],[Ledger Code]])&gt;3,"AR"&amp;Table12_52_034[[#This Row],[Ledger Code]],"TBC")</f>
        <v>AR9051</v>
      </c>
      <c r="H234" s="43"/>
      <c r="I234" s="43"/>
      <c r="J234" s="43"/>
      <c r="K234" s="43"/>
      <c r="L234" s="43"/>
      <c r="M234" s="43"/>
      <c r="N234" s="43"/>
      <c r="O234" s="43"/>
      <c r="P234" s="45">
        <v>0</v>
      </c>
      <c r="Q234" s="45">
        <v>683.22</v>
      </c>
      <c r="R234" s="45">
        <v>341.61</v>
      </c>
      <c r="S234" s="45">
        <v>457.38</v>
      </c>
      <c r="T234" s="45">
        <v>917.51999999999987</v>
      </c>
      <c r="U234" s="45">
        <v>0</v>
      </c>
      <c r="V234" s="45">
        <v>457.38</v>
      </c>
      <c r="W234" s="45">
        <v>0</v>
      </c>
    </row>
    <row r="235" spans="1:23" hidden="1" x14ac:dyDescent="0.25">
      <c r="A235" s="43">
        <v>5440</v>
      </c>
      <c r="B235" s="43">
        <v>9051</v>
      </c>
      <c r="C235" s="43" t="s">
        <v>599</v>
      </c>
      <c r="D235" s="43" t="s">
        <v>600</v>
      </c>
      <c r="E235" s="43" t="s">
        <v>26</v>
      </c>
      <c r="F235" s="43" t="s">
        <v>592</v>
      </c>
      <c r="G235" s="44" t="str">
        <f>IF(LEN(Table12_52_034[[#This Row],[Ledger Code]])&gt;3,"AR"&amp;Table12_52_034[[#This Row],[Ledger Code]],"TBC")</f>
        <v>AR9051</v>
      </c>
      <c r="H235" s="43"/>
      <c r="I235" s="43"/>
      <c r="J235" s="43"/>
      <c r="K235" s="43"/>
      <c r="L235" s="43"/>
      <c r="M235" s="43"/>
      <c r="N235" s="43"/>
      <c r="O235" s="43"/>
      <c r="P235" s="45">
        <v>0</v>
      </c>
      <c r="Q235" s="45">
        <v>683.22</v>
      </c>
      <c r="R235" s="45">
        <v>341.61</v>
      </c>
      <c r="S235" s="45">
        <v>457.38</v>
      </c>
      <c r="T235" s="45">
        <v>917.51999999999987</v>
      </c>
      <c r="U235" s="45">
        <v>0</v>
      </c>
      <c r="V235" s="45">
        <v>457.38</v>
      </c>
      <c r="W235" s="45">
        <v>0</v>
      </c>
    </row>
    <row r="236" spans="1:23" hidden="1" x14ac:dyDescent="0.25">
      <c r="A236" s="43">
        <v>5573</v>
      </c>
      <c r="B236" s="43">
        <v>9051</v>
      </c>
      <c r="C236" s="43" t="s">
        <v>599</v>
      </c>
      <c r="D236" s="43" t="s">
        <v>600</v>
      </c>
      <c r="E236" s="43" t="s">
        <v>26</v>
      </c>
      <c r="F236" s="43" t="s">
        <v>592</v>
      </c>
      <c r="G236" s="44" t="str">
        <f>IF(LEN(Table12_52_034[[#This Row],[Ledger Code]])&gt;3,"AR"&amp;Table12_52_034[[#This Row],[Ledger Code]],"TBC")</f>
        <v>AR9051</v>
      </c>
      <c r="H236" s="43"/>
      <c r="I236" s="43"/>
      <c r="J236" s="43"/>
      <c r="K236" s="43"/>
      <c r="L236" s="43"/>
      <c r="M236" s="43"/>
      <c r="N236" s="43"/>
      <c r="O236" s="43"/>
      <c r="P236" s="45">
        <v>0</v>
      </c>
      <c r="Q236" s="45">
        <v>683.22</v>
      </c>
      <c r="R236" s="45">
        <v>341.61</v>
      </c>
      <c r="S236" s="45">
        <v>457.38</v>
      </c>
      <c r="T236" s="45">
        <v>917.51999999999987</v>
      </c>
      <c r="U236" s="45">
        <v>0</v>
      </c>
      <c r="V236" s="45">
        <v>457.38</v>
      </c>
      <c r="W236" s="45">
        <v>0</v>
      </c>
    </row>
    <row r="237" spans="1:23" hidden="1" x14ac:dyDescent="0.25">
      <c r="A237" s="43">
        <v>5575</v>
      </c>
      <c r="B237" s="43">
        <v>9051</v>
      </c>
      <c r="C237" s="43" t="s">
        <v>599</v>
      </c>
      <c r="D237" s="43" t="s">
        <v>600</v>
      </c>
      <c r="E237" s="43" t="s">
        <v>26</v>
      </c>
      <c r="F237" s="43" t="s">
        <v>592</v>
      </c>
      <c r="G237" s="44" t="str">
        <f>IF(LEN(Table12_52_034[[#This Row],[Ledger Code]])&gt;3,"AR"&amp;Table12_52_034[[#This Row],[Ledger Code]],"TBC")</f>
        <v>AR9051</v>
      </c>
      <c r="H237" s="43"/>
      <c r="I237" s="43"/>
      <c r="J237" s="43"/>
      <c r="K237" s="43"/>
      <c r="L237" s="43"/>
      <c r="M237" s="43"/>
      <c r="N237" s="43"/>
      <c r="O237" s="43"/>
      <c r="P237" s="45">
        <v>0</v>
      </c>
      <c r="Q237" s="45">
        <v>683.22</v>
      </c>
      <c r="R237" s="45">
        <v>341.61</v>
      </c>
      <c r="S237" s="45">
        <v>457.38</v>
      </c>
      <c r="T237" s="45">
        <v>917.51999999999987</v>
      </c>
      <c r="U237" s="45">
        <v>0</v>
      </c>
      <c r="V237" s="45">
        <v>457.38</v>
      </c>
      <c r="W237" s="45">
        <v>0</v>
      </c>
    </row>
    <row r="238" spans="1:23" hidden="1" x14ac:dyDescent="0.25">
      <c r="A238" s="43">
        <v>5571</v>
      </c>
      <c r="B238" s="43">
        <v>9046</v>
      </c>
      <c r="C238" s="43" t="s">
        <v>601</v>
      </c>
      <c r="D238" s="43" t="s">
        <v>602</v>
      </c>
      <c r="E238" s="43" t="s">
        <v>26</v>
      </c>
      <c r="F238" s="43" t="s">
        <v>592</v>
      </c>
      <c r="G238" s="44" t="str">
        <f>IF(LEN(Table12_52_034[[#This Row],[Ledger Code]])&gt;3,"AR"&amp;Table12_52_034[[#This Row],[Ledger Code]],"TBC")</f>
        <v>AR9046</v>
      </c>
      <c r="H238" s="43"/>
      <c r="I238" s="43"/>
      <c r="J238" s="43"/>
      <c r="K238" s="43"/>
      <c r="L238" s="43"/>
      <c r="M238" s="43"/>
      <c r="N238" s="43"/>
      <c r="O238" s="43"/>
      <c r="P238" s="45">
        <v>0</v>
      </c>
      <c r="Q238" s="45">
        <v>0</v>
      </c>
      <c r="R238" s="45">
        <v>0</v>
      </c>
      <c r="S238" s="45">
        <v>0</v>
      </c>
      <c r="T238" s="45">
        <v>0</v>
      </c>
      <c r="U238" s="45">
        <v>0</v>
      </c>
      <c r="V238" s="45">
        <v>0</v>
      </c>
      <c r="W238" s="45">
        <v>0</v>
      </c>
    </row>
    <row r="239" spans="1:23" hidden="1" x14ac:dyDescent="0.25">
      <c r="A239" s="43">
        <v>5373</v>
      </c>
      <c r="B239" s="43">
        <v>8840</v>
      </c>
      <c r="C239" s="43" t="s">
        <v>603</v>
      </c>
      <c r="D239" s="43" t="s">
        <v>604</v>
      </c>
      <c r="E239" s="43" t="s">
        <v>26</v>
      </c>
      <c r="F239" s="43" t="s">
        <v>570</v>
      </c>
      <c r="G239" s="44" t="str">
        <f>IF(LEN(Table12_52_034[[#This Row],[Ledger Code]])&gt;3,"AR"&amp;Table12_52_034[[#This Row],[Ledger Code]],"TBC")</f>
        <v>AR8840</v>
      </c>
      <c r="H239" s="43"/>
      <c r="I239" s="43"/>
      <c r="J239" s="43"/>
      <c r="K239" s="43"/>
      <c r="L239" s="43"/>
      <c r="M239" s="43"/>
      <c r="N239" s="43"/>
      <c r="O239" s="43"/>
      <c r="P239" s="45">
        <v>0</v>
      </c>
      <c r="Q239" s="45">
        <v>0</v>
      </c>
      <c r="R239" s="45">
        <v>0</v>
      </c>
      <c r="S239" s="45">
        <v>0</v>
      </c>
      <c r="T239" s="45">
        <v>0</v>
      </c>
      <c r="U239" s="45">
        <v>0</v>
      </c>
      <c r="V239" s="45">
        <v>0</v>
      </c>
      <c r="W239" s="45">
        <v>565.92000000000007</v>
      </c>
    </row>
    <row r="240" spans="1:23" hidden="1" x14ac:dyDescent="0.25">
      <c r="A240" s="43">
        <v>1463</v>
      </c>
      <c r="B240" s="43">
        <v>8252</v>
      </c>
      <c r="C240" s="43" t="s">
        <v>606</v>
      </c>
      <c r="D240" s="43" t="s">
        <v>607</v>
      </c>
      <c r="E240" s="43" t="s">
        <v>26</v>
      </c>
      <c r="F240" s="43" t="s">
        <v>605</v>
      </c>
      <c r="G240" s="44" t="str">
        <f>IF(LEN(Table12_52_034[[#This Row],[Ledger Code]])&gt;3,"AR"&amp;Table12_52_034[[#This Row],[Ledger Code]],"TBC")</f>
        <v>AR8252</v>
      </c>
      <c r="H240" s="43"/>
      <c r="I240" s="43"/>
      <c r="J240" s="43"/>
      <c r="K240" s="43"/>
      <c r="L240" s="43"/>
      <c r="M240" s="43"/>
      <c r="N240" s="43"/>
      <c r="O240" s="43"/>
      <c r="P240" s="45">
        <v>0</v>
      </c>
      <c r="Q240" s="45">
        <v>138.57</v>
      </c>
      <c r="R240" s="45">
        <v>50.95000000000001</v>
      </c>
      <c r="S240" s="45">
        <v>87.62</v>
      </c>
      <c r="T240" s="45">
        <v>-89.57</v>
      </c>
      <c r="U240" s="45">
        <v>95.84</v>
      </c>
      <c r="V240" s="45">
        <v>145</v>
      </c>
      <c r="W240" s="45">
        <v>0</v>
      </c>
    </row>
    <row r="241" spans="1:23" hidden="1" x14ac:dyDescent="0.25">
      <c r="A241" s="43">
        <v>1487</v>
      </c>
      <c r="B241" s="43">
        <v>8256</v>
      </c>
      <c r="C241" s="43" t="s">
        <v>608</v>
      </c>
      <c r="D241" s="43" t="s">
        <v>609</v>
      </c>
      <c r="E241" s="43" t="s">
        <v>26</v>
      </c>
      <c r="F241" s="43" t="s">
        <v>605</v>
      </c>
      <c r="G241" s="44" t="str">
        <f>IF(LEN(Table12_52_034[[#This Row],[Ledger Code]])&gt;3,"AR"&amp;Table12_52_034[[#This Row],[Ledger Code]],"TBC")</f>
        <v>AR8256</v>
      </c>
      <c r="H241" s="43"/>
      <c r="I241" s="43"/>
      <c r="J241" s="43"/>
      <c r="K241" s="43"/>
      <c r="L241" s="43"/>
      <c r="M241" s="43"/>
      <c r="N241" s="43"/>
      <c r="O241" s="43"/>
      <c r="P241" s="45">
        <v>0</v>
      </c>
      <c r="Q241" s="45">
        <v>1000</v>
      </c>
      <c r="R241" s="45">
        <v>-1000</v>
      </c>
      <c r="S241" s="45">
        <v>0</v>
      </c>
      <c r="T241" s="45">
        <v>0</v>
      </c>
      <c r="U241" s="45">
        <v>0</v>
      </c>
      <c r="V241" s="45">
        <v>0</v>
      </c>
      <c r="W241" s="45">
        <v>0</v>
      </c>
    </row>
    <row r="242" spans="1:23" hidden="1" x14ac:dyDescent="0.25">
      <c r="A242" s="43">
        <v>1565</v>
      </c>
      <c r="B242" s="43">
        <v>8283</v>
      </c>
      <c r="C242" s="43" t="s">
        <v>610</v>
      </c>
      <c r="D242" s="43" t="s">
        <v>611</v>
      </c>
      <c r="E242" s="43" t="s">
        <v>26</v>
      </c>
      <c r="F242" s="43" t="s">
        <v>605</v>
      </c>
      <c r="G242" s="44" t="str">
        <f>IF(LEN(Table12_52_034[[#This Row],[Ledger Code]])&gt;3,"AR"&amp;Table12_52_034[[#This Row],[Ledger Code]],"TBC")</f>
        <v>AR8283</v>
      </c>
      <c r="H242" s="43"/>
      <c r="I242" s="43"/>
      <c r="J242" s="43"/>
      <c r="K242" s="43"/>
      <c r="L242" s="43"/>
      <c r="M242" s="43"/>
      <c r="N242" s="43"/>
      <c r="O242" s="43"/>
      <c r="P242" s="45">
        <v>0</v>
      </c>
      <c r="Q242" s="45">
        <v>0</v>
      </c>
      <c r="R242" s="45">
        <v>0</v>
      </c>
      <c r="S242" s="45">
        <v>0</v>
      </c>
      <c r="T242" s="45">
        <v>0</v>
      </c>
      <c r="U242" s="45">
        <v>0</v>
      </c>
      <c r="V242" s="45">
        <v>0</v>
      </c>
      <c r="W242" s="45">
        <v>0</v>
      </c>
    </row>
    <row r="243" spans="1:23" hidden="1" x14ac:dyDescent="0.25">
      <c r="A243" s="43">
        <v>1620</v>
      </c>
      <c r="B243" s="43">
        <v>8228</v>
      </c>
      <c r="C243" s="43" t="s">
        <v>612</v>
      </c>
      <c r="D243" s="43" t="s">
        <v>613</v>
      </c>
      <c r="E243" s="43" t="s">
        <v>26</v>
      </c>
      <c r="F243" s="43" t="s">
        <v>605</v>
      </c>
      <c r="G243" s="44" t="str">
        <f>IF(LEN(Table12_52_034[[#This Row],[Ledger Code]])&gt;3,"AR"&amp;Table12_52_034[[#This Row],[Ledger Code]],"TBC")</f>
        <v>AR8228</v>
      </c>
      <c r="H243" s="43"/>
      <c r="I243" s="43"/>
      <c r="J243" s="43"/>
      <c r="K243" s="43"/>
      <c r="L243" s="43"/>
      <c r="M243" s="43"/>
      <c r="N243" s="43"/>
      <c r="O243" s="43"/>
      <c r="P243" s="45">
        <v>0</v>
      </c>
      <c r="Q243" s="45">
        <v>0</v>
      </c>
      <c r="R243" s="45">
        <v>0</v>
      </c>
      <c r="S243" s="45">
        <v>0</v>
      </c>
      <c r="T243" s="45">
        <v>0</v>
      </c>
      <c r="U243" s="45">
        <v>0</v>
      </c>
      <c r="V243" s="45">
        <v>0</v>
      </c>
      <c r="W243" s="45">
        <v>0</v>
      </c>
    </row>
    <row r="244" spans="1:23" hidden="1" x14ac:dyDescent="0.25">
      <c r="A244" s="43">
        <v>1621</v>
      </c>
      <c r="B244" s="43">
        <v>8229</v>
      </c>
      <c r="C244" s="43" t="s">
        <v>614</v>
      </c>
      <c r="D244" s="43" t="s">
        <v>615</v>
      </c>
      <c r="E244" s="43" t="s">
        <v>26</v>
      </c>
      <c r="F244" s="43" t="s">
        <v>605</v>
      </c>
      <c r="G244" s="44" t="str">
        <f>IF(LEN(Table12_52_034[[#This Row],[Ledger Code]])&gt;3,"AR"&amp;Table12_52_034[[#This Row],[Ledger Code]],"TBC")</f>
        <v>AR8229</v>
      </c>
      <c r="H244" s="43"/>
      <c r="I244" s="43"/>
      <c r="J244" s="43"/>
      <c r="K244" s="43"/>
      <c r="L244" s="43"/>
      <c r="M244" s="43"/>
      <c r="N244" s="43"/>
      <c r="O244" s="43"/>
      <c r="P244" s="45">
        <v>0</v>
      </c>
      <c r="Q244" s="45">
        <v>792.57</v>
      </c>
      <c r="R244" s="45">
        <v>0</v>
      </c>
      <c r="S244" s="45">
        <v>1686.81</v>
      </c>
      <c r="T244" s="45">
        <v>2294.13</v>
      </c>
      <c r="U244" s="45">
        <v>2141.38</v>
      </c>
      <c r="V244" s="45">
        <v>1485.4</v>
      </c>
      <c r="W244" s="45">
        <v>0</v>
      </c>
    </row>
    <row r="245" spans="1:23" hidden="1" x14ac:dyDescent="0.25">
      <c r="A245" s="43">
        <v>1630</v>
      </c>
      <c r="B245" s="43">
        <v>8241</v>
      </c>
      <c r="C245" s="43" t="s">
        <v>616</v>
      </c>
      <c r="D245" s="43" t="s">
        <v>617</v>
      </c>
      <c r="E245" s="43" t="s">
        <v>26</v>
      </c>
      <c r="F245" s="43" t="s">
        <v>605</v>
      </c>
      <c r="G245" s="44" t="str">
        <f>IF(LEN(Table12_52_034[[#This Row],[Ledger Code]])&gt;3,"AR"&amp;Table12_52_034[[#This Row],[Ledger Code]],"TBC")</f>
        <v>AR8241</v>
      </c>
      <c r="H245" s="43"/>
      <c r="I245" s="43"/>
      <c r="J245" s="43"/>
      <c r="K245" s="43"/>
      <c r="L245" s="43"/>
      <c r="M245" s="43"/>
      <c r="N245" s="43"/>
      <c r="O245" s="43"/>
      <c r="P245" s="45">
        <v>0</v>
      </c>
      <c r="Q245" s="45">
        <v>0</v>
      </c>
      <c r="R245" s="45">
        <v>0</v>
      </c>
      <c r="S245" s="45">
        <v>0</v>
      </c>
      <c r="T245" s="45">
        <v>0</v>
      </c>
      <c r="U245" s="45">
        <v>0</v>
      </c>
      <c r="V245" s="45">
        <v>0</v>
      </c>
      <c r="W245" s="45">
        <v>0</v>
      </c>
    </row>
    <row r="246" spans="1:23" hidden="1" x14ac:dyDescent="0.25">
      <c r="A246" s="43">
        <v>1566</v>
      </c>
      <c r="B246" s="43">
        <v>8284</v>
      </c>
      <c r="C246" s="43" t="s">
        <v>618</v>
      </c>
      <c r="D246" s="43" t="s">
        <v>619</v>
      </c>
      <c r="E246" s="43" t="s">
        <v>26</v>
      </c>
      <c r="F246" s="43" t="s">
        <v>605</v>
      </c>
      <c r="G246" s="44" t="str">
        <f>IF(LEN(Table12_52_034[[#This Row],[Ledger Code]])&gt;3,"AR"&amp;Table12_52_034[[#This Row],[Ledger Code]],"TBC")</f>
        <v>AR8284</v>
      </c>
      <c r="H246" s="43"/>
      <c r="I246" s="43"/>
      <c r="J246" s="43"/>
      <c r="K246" s="43"/>
      <c r="L246" s="43"/>
      <c r="M246" s="43"/>
      <c r="N246" s="43"/>
      <c r="O246" s="43"/>
      <c r="P246" s="45">
        <v>0</v>
      </c>
      <c r="Q246" s="45">
        <v>0</v>
      </c>
      <c r="R246" s="45">
        <v>0</v>
      </c>
      <c r="S246" s="45">
        <v>0</v>
      </c>
      <c r="T246" s="45">
        <v>0</v>
      </c>
      <c r="U246" s="45">
        <v>0</v>
      </c>
      <c r="V246" s="45">
        <v>0</v>
      </c>
      <c r="W246" s="45">
        <v>0</v>
      </c>
    </row>
    <row r="247" spans="1:23" hidden="1" x14ac:dyDescent="0.25">
      <c r="A247" s="43">
        <v>5522</v>
      </c>
      <c r="B247" s="43">
        <v>8981</v>
      </c>
      <c r="C247" s="43" t="s">
        <v>620</v>
      </c>
      <c r="D247" s="43" t="s">
        <v>621</v>
      </c>
      <c r="E247" s="43" t="s">
        <v>26</v>
      </c>
      <c r="F247" s="43" t="s">
        <v>592</v>
      </c>
      <c r="G247" s="44" t="str">
        <f>IF(LEN(Table12_52_034[[#This Row],[Ledger Code]])&gt;3,"AR"&amp;Table12_52_034[[#This Row],[Ledger Code]],"TBC")</f>
        <v>AR8981</v>
      </c>
      <c r="H247" s="43"/>
      <c r="I247" s="43"/>
      <c r="J247" s="43"/>
      <c r="K247" s="43"/>
      <c r="L247" s="43"/>
      <c r="M247" s="43"/>
      <c r="N247" s="43"/>
      <c r="O247" s="43"/>
      <c r="P247" s="45">
        <v>0</v>
      </c>
      <c r="Q247" s="45">
        <v>52.129999999996365</v>
      </c>
      <c r="R247" s="45">
        <v>-3.637978807091713E-12</v>
      </c>
      <c r="S247" s="45">
        <v>0</v>
      </c>
      <c r="T247" s="45">
        <v>2694.44</v>
      </c>
      <c r="U247" s="45">
        <v>15110.41</v>
      </c>
      <c r="V247" s="45">
        <v>19746.440000000002</v>
      </c>
      <c r="W247" s="45">
        <v>8339.06</v>
      </c>
    </row>
    <row r="248" spans="1:23" hidden="1" x14ac:dyDescent="0.25">
      <c r="A248" s="43">
        <v>3153</v>
      </c>
      <c r="B248" s="43">
        <v>8524</v>
      </c>
      <c r="C248" s="43" t="s">
        <v>622</v>
      </c>
      <c r="D248" s="43" t="s">
        <v>623</v>
      </c>
      <c r="E248" s="43" t="s">
        <v>26</v>
      </c>
      <c r="F248" s="43" t="s">
        <v>573</v>
      </c>
      <c r="G248" s="44" t="str">
        <f>IF(LEN(Table12_52_034[[#This Row],[Ledger Code]])&gt;3,"AR"&amp;Table12_52_034[[#This Row],[Ledger Code]],"TBC")</f>
        <v>AR8524</v>
      </c>
      <c r="H248" s="43"/>
      <c r="I248" s="43"/>
      <c r="J248" s="43"/>
      <c r="K248" s="43"/>
      <c r="L248" s="43"/>
      <c r="M248" s="43"/>
      <c r="N248" s="43"/>
      <c r="O248" s="43"/>
      <c r="P248" s="45">
        <v>21</v>
      </c>
      <c r="Q248" s="45">
        <v>829.77</v>
      </c>
      <c r="R248" s="45">
        <v>2.8421709430404007E-14</v>
      </c>
      <c r="S248" s="45">
        <v>1240.9299999999998</v>
      </c>
      <c r="T248" s="45">
        <v>0</v>
      </c>
      <c r="U248" s="45">
        <v>1155.72</v>
      </c>
      <c r="V248" s="45">
        <v>-1.1368683772161603E-13</v>
      </c>
      <c r="W248" s="45">
        <v>1314.8999999999996</v>
      </c>
    </row>
    <row r="249" spans="1:23" hidden="1" x14ac:dyDescent="0.25">
      <c r="A249" s="43">
        <v>1882</v>
      </c>
      <c r="B249" s="43">
        <v>5861</v>
      </c>
      <c r="C249" s="43" t="s">
        <v>444</v>
      </c>
      <c r="D249" s="43" t="s">
        <v>445</v>
      </c>
      <c r="E249" s="43" t="s">
        <v>429</v>
      </c>
      <c r="F249" s="43" t="s">
        <v>98</v>
      </c>
      <c r="G249" s="44" t="str">
        <f>IF(LEN(Table12_52_034[[#This Row],[Ledger Code]])&gt;3,"AR"&amp;Table12_52_034[[#This Row],[Ledger Code]],"TBC")</f>
        <v>AR5861</v>
      </c>
      <c r="H249" s="43"/>
      <c r="I249" s="43"/>
      <c r="J249" s="43"/>
      <c r="K249" s="43"/>
      <c r="L249" s="43"/>
      <c r="M249" s="43"/>
      <c r="N249" s="43"/>
      <c r="O249" s="43"/>
      <c r="P249" s="45">
        <v>0</v>
      </c>
      <c r="Q249" s="45">
        <v>0</v>
      </c>
      <c r="R249" s="45">
        <v>0</v>
      </c>
      <c r="S249" s="45">
        <v>0</v>
      </c>
      <c r="T249" s="45">
        <v>0</v>
      </c>
      <c r="U249" s="45">
        <v>0</v>
      </c>
      <c r="V249" s="45">
        <v>0</v>
      </c>
      <c r="W249" s="45">
        <v>0</v>
      </c>
    </row>
    <row r="250" spans="1:23" hidden="1" x14ac:dyDescent="0.25">
      <c r="A250" s="43">
        <v>2020</v>
      </c>
      <c r="B250" s="43">
        <v>5858</v>
      </c>
      <c r="C250" s="43" t="s">
        <v>446</v>
      </c>
      <c r="D250" s="43" t="s">
        <v>447</v>
      </c>
      <c r="E250" s="43" t="s">
        <v>429</v>
      </c>
      <c r="F250" s="43" t="s">
        <v>98</v>
      </c>
      <c r="G250" s="44" t="str">
        <f>IF(LEN(Table12_52_034[[#This Row],[Ledger Code]])&gt;3,"AR"&amp;Table12_52_034[[#This Row],[Ledger Code]],"TBC")</f>
        <v>AR5858</v>
      </c>
      <c r="H250" s="43"/>
      <c r="I250" s="43"/>
      <c r="J250" s="43"/>
      <c r="K250" s="43"/>
      <c r="L250" s="43"/>
      <c r="M250" s="43"/>
      <c r="N250" s="43"/>
      <c r="O250" s="43"/>
      <c r="P250" s="45">
        <v>0</v>
      </c>
      <c r="Q250" s="45">
        <v>0</v>
      </c>
      <c r="R250" s="45">
        <v>0</v>
      </c>
      <c r="S250" s="45">
        <v>0</v>
      </c>
      <c r="T250" s="45">
        <v>0</v>
      </c>
      <c r="U250" s="45">
        <v>0</v>
      </c>
      <c r="V250" s="45">
        <v>0</v>
      </c>
      <c r="W250" s="45">
        <v>0</v>
      </c>
    </row>
    <row r="251" spans="1:23" hidden="1" x14ac:dyDescent="0.25">
      <c r="A251" s="43">
        <v>2023</v>
      </c>
      <c r="B251" s="43">
        <v>5862</v>
      </c>
      <c r="C251" s="43" t="s">
        <v>448</v>
      </c>
      <c r="D251" s="43" t="s">
        <v>449</v>
      </c>
      <c r="E251" s="43" t="s">
        <v>429</v>
      </c>
      <c r="F251" s="43" t="s">
        <v>98</v>
      </c>
      <c r="G251" s="44" t="str">
        <f>IF(LEN(Table12_52_034[[#This Row],[Ledger Code]])&gt;3,"AR"&amp;Table12_52_034[[#This Row],[Ledger Code]],"TBC")</f>
        <v>AR5862</v>
      </c>
      <c r="H251" s="43"/>
      <c r="I251" s="43"/>
      <c r="J251" s="43"/>
      <c r="K251" s="43"/>
      <c r="L251" s="43"/>
      <c r="M251" s="43"/>
      <c r="N251" s="43"/>
      <c r="O251" s="43"/>
      <c r="P251" s="45">
        <v>0</v>
      </c>
      <c r="Q251" s="45">
        <v>0</v>
      </c>
      <c r="R251" s="45">
        <v>0</v>
      </c>
      <c r="S251" s="45">
        <v>0</v>
      </c>
      <c r="T251" s="45">
        <v>0</v>
      </c>
      <c r="U251" s="45">
        <v>0</v>
      </c>
      <c r="V251" s="45">
        <v>0</v>
      </c>
      <c r="W251" s="45">
        <v>0</v>
      </c>
    </row>
    <row r="252" spans="1:23" hidden="1" x14ac:dyDescent="0.25">
      <c r="A252" s="43">
        <v>2352</v>
      </c>
      <c r="B252" s="43">
        <v>6003</v>
      </c>
      <c r="C252" s="43" t="s">
        <v>450</v>
      </c>
      <c r="D252" s="43" t="s">
        <v>110</v>
      </c>
      <c r="E252" s="43" t="s">
        <v>429</v>
      </c>
      <c r="F252" s="43" t="s">
        <v>98</v>
      </c>
      <c r="G252" s="44" t="str">
        <f>IF(LEN(Table12_52_034[[#This Row],[Ledger Code]])&gt;3,"AR"&amp;Table12_52_034[[#This Row],[Ledger Code]],"TBC")</f>
        <v>AR6003</v>
      </c>
      <c r="H252" s="43"/>
      <c r="I252" s="43"/>
      <c r="J252" s="43"/>
      <c r="K252" s="43"/>
      <c r="L252" s="43"/>
      <c r="M252" s="43"/>
      <c r="N252" s="43"/>
      <c r="O252" s="43"/>
      <c r="P252" s="45">
        <v>0</v>
      </c>
      <c r="Q252" s="45">
        <v>0</v>
      </c>
      <c r="R252" s="45">
        <v>0</v>
      </c>
      <c r="S252" s="45">
        <v>0</v>
      </c>
      <c r="T252" s="45">
        <v>0</v>
      </c>
      <c r="U252" s="45">
        <v>0</v>
      </c>
      <c r="V252" s="45">
        <v>212.78</v>
      </c>
      <c r="W252" s="45">
        <v>1327.1</v>
      </c>
    </row>
    <row r="253" spans="1:23" hidden="1" x14ac:dyDescent="0.25">
      <c r="A253" s="43">
        <v>2382</v>
      </c>
      <c r="B253" s="43">
        <v>6164</v>
      </c>
      <c r="C253" s="43" t="s">
        <v>478</v>
      </c>
      <c r="D253" s="43" t="s">
        <v>479</v>
      </c>
      <c r="E253" s="43" t="s">
        <v>429</v>
      </c>
      <c r="F253" s="43" t="s">
        <v>98</v>
      </c>
      <c r="G253" s="44" t="str">
        <f>IF(LEN(Table12_52_034[[#This Row],[Ledger Code]])&gt;3,"AR"&amp;Table12_52_034[[#This Row],[Ledger Code]],"TBC")</f>
        <v>AR6164</v>
      </c>
      <c r="H253" s="43"/>
      <c r="I253" s="43"/>
      <c r="J253" s="43"/>
      <c r="K253" s="43"/>
      <c r="L253" s="43"/>
      <c r="M253" s="43"/>
      <c r="N253" s="43"/>
      <c r="O253" s="43"/>
      <c r="P253" s="45">
        <v>0</v>
      </c>
      <c r="Q253" s="45">
        <v>0</v>
      </c>
      <c r="R253" s="45">
        <v>493.68</v>
      </c>
      <c r="S253" s="45">
        <v>802.38999999999987</v>
      </c>
      <c r="T253" s="45">
        <v>4517.34</v>
      </c>
      <c r="U253" s="45">
        <v>4425.54</v>
      </c>
      <c r="V253" s="45">
        <v>13751.160000000002</v>
      </c>
      <c r="W253" s="45">
        <v>2550.9899999999998</v>
      </c>
    </row>
    <row r="254" spans="1:23" hidden="1" x14ac:dyDescent="0.25">
      <c r="A254" s="43">
        <v>6060</v>
      </c>
      <c r="B254" s="43" t="s">
        <v>387</v>
      </c>
      <c r="C254" s="43" t="s">
        <v>451</v>
      </c>
      <c r="D254" s="43" t="s">
        <v>108</v>
      </c>
      <c r="E254" s="43" t="s">
        <v>429</v>
      </c>
      <c r="F254" s="43" t="s">
        <v>98</v>
      </c>
      <c r="G254" s="44" t="str">
        <f>IF(LEN(Table12_52_034[[#This Row],[Ledger Code]])&gt;3,"AR"&amp;Table12_52_034[[#This Row],[Ledger Code]],"TBC")</f>
        <v>TBC</v>
      </c>
      <c r="H254" s="43"/>
      <c r="I254" s="43"/>
      <c r="J254" s="43"/>
      <c r="K254" s="43"/>
      <c r="L254" s="43"/>
      <c r="M254" s="43"/>
      <c r="N254" s="43"/>
      <c r="O254" s="43"/>
      <c r="P254" s="45">
        <v>0</v>
      </c>
      <c r="Q254" s="45">
        <v>0</v>
      </c>
      <c r="R254" s="45">
        <v>0</v>
      </c>
      <c r="S254" s="45">
        <v>0</v>
      </c>
      <c r="T254" s="45">
        <v>0</v>
      </c>
      <c r="U254" s="45">
        <v>0</v>
      </c>
      <c r="V254" s="45">
        <v>0</v>
      </c>
      <c r="W254" s="45">
        <v>0</v>
      </c>
    </row>
    <row r="255" spans="1:23" hidden="1" x14ac:dyDescent="0.25">
      <c r="A255" s="43">
        <v>2301</v>
      </c>
      <c r="B255" s="43">
        <v>5953</v>
      </c>
      <c r="C255" s="43" t="s">
        <v>452</v>
      </c>
      <c r="D255" s="43" t="s">
        <v>453</v>
      </c>
      <c r="E255" s="43" t="s">
        <v>429</v>
      </c>
      <c r="F255" s="43" t="s">
        <v>98</v>
      </c>
      <c r="G255" s="44" t="str">
        <f>IF(LEN(Table12_52_034[[#This Row],[Ledger Code]])&gt;3,"AR"&amp;Table12_52_034[[#This Row],[Ledger Code]],"TBC")</f>
        <v>AR5953</v>
      </c>
      <c r="H255" s="43"/>
      <c r="I255" s="43"/>
      <c r="J255" s="43"/>
      <c r="K255" s="43"/>
      <c r="L255" s="43"/>
      <c r="M255" s="43"/>
      <c r="N255" s="43"/>
      <c r="O255" s="43"/>
      <c r="P255" s="45">
        <v>0</v>
      </c>
      <c r="Q255" s="45">
        <v>0</v>
      </c>
      <c r="R255" s="45">
        <v>0</v>
      </c>
      <c r="S255" s="45">
        <v>0</v>
      </c>
      <c r="T255" s="45">
        <v>0</v>
      </c>
      <c r="U255" s="45">
        <v>0</v>
      </c>
      <c r="V255" s="45">
        <v>0</v>
      </c>
      <c r="W255" s="45">
        <v>0</v>
      </c>
    </row>
    <row r="256" spans="1:23" hidden="1" x14ac:dyDescent="0.25">
      <c r="A256" s="43">
        <v>2086</v>
      </c>
      <c r="B256" s="43">
        <v>5872</v>
      </c>
      <c r="C256" s="43" t="s">
        <v>430</v>
      </c>
      <c r="D256" s="43" t="s">
        <v>431</v>
      </c>
      <c r="E256" s="43" t="s">
        <v>429</v>
      </c>
      <c r="F256" s="43" t="s">
        <v>98</v>
      </c>
      <c r="G256" s="44" t="str">
        <f>IF(LEN(Table12_52_034[[#This Row],[Ledger Code]])&gt;3,"AR"&amp;Table12_52_034[[#This Row],[Ledger Code]],"TBC")</f>
        <v>AR5872</v>
      </c>
      <c r="H256" s="43"/>
      <c r="I256" s="43"/>
      <c r="J256" s="43"/>
      <c r="K256" s="43"/>
      <c r="L256" s="43"/>
      <c r="M256" s="43"/>
      <c r="N256" s="43"/>
      <c r="O256" s="43"/>
      <c r="P256" s="45">
        <v>0</v>
      </c>
      <c r="Q256" s="45">
        <v>0</v>
      </c>
      <c r="R256" s="45">
        <v>10934.68</v>
      </c>
      <c r="S256" s="45">
        <v>3898.32</v>
      </c>
      <c r="T256" s="45">
        <v>4030.65</v>
      </c>
      <c r="U256" s="45">
        <v>3653.9199999999992</v>
      </c>
      <c r="V256" s="45">
        <v>0</v>
      </c>
      <c r="W256" s="45">
        <v>8581.5199999999986</v>
      </c>
    </row>
    <row r="257" spans="1:23" hidden="1" x14ac:dyDescent="0.25">
      <c r="A257" s="43">
        <v>1347</v>
      </c>
      <c r="B257" s="43">
        <v>5666</v>
      </c>
      <c r="C257" s="43" t="s">
        <v>454</v>
      </c>
      <c r="D257" s="43" t="s">
        <v>455</v>
      </c>
      <c r="E257" s="43" t="s">
        <v>429</v>
      </c>
      <c r="F257" s="43" t="s">
        <v>83</v>
      </c>
      <c r="G257" s="44" t="str">
        <f>IF(LEN(Table12_52_034[[#This Row],[Ledger Code]])&gt;3,"AR"&amp;Table12_52_034[[#This Row],[Ledger Code]],"TBC")</f>
        <v>AR5666</v>
      </c>
      <c r="H257" s="43"/>
      <c r="I257" s="43"/>
      <c r="J257" s="43"/>
      <c r="K257" s="43"/>
      <c r="L257" s="43"/>
      <c r="M257" s="43"/>
      <c r="N257" s="43"/>
      <c r="O257" s="43"/>
      <c r="P257" s="45">
        <v>142.80000000000001</v>
      </c>
      <c r="Q257" s="45">
        <v>550.5</v>
      </c>
      <c r="R257" s="45">
        <v>284.99999999999989</v>
      </c>
      <c r="S257" s="45">
        <v>149.69999999999999</v>
      </c>
      <c r="T257" s="45">
        <v>1861.22</v>
      </c>
      <c r="U257" s="45">
        <v>-1259.72</v>
      </c>
      <c r="V257" s="45">
        <v>316.49999999999994</v>
      </c>
      <c r="W257" s="45">
        <v>407.99999999999994</v>
      </c>
    </row>
    <row r="258" spans="1:23" hidden="1" x14ac:dyDescent="0.25">
      <c r="A258" s="43">
        <v>1368</v>
      </c>
      <c r="B258" s="43">
        <v>5619</v>
      </c>
      <c r="C258" s="43" t="s">
        <v>456</v>
      </c>
      <c r="D258" s="43" t="s">
        <v>457</v>
      </c>
      <c r="E258" s="43" t="s">
        <v>429</v>
      </c>
      <c r="F258" s="43" t="s">
        <v>83</v>
      </c>
      <c r="G258" s="44" t="str">
        <f>IF(LEN(Table12_52_034[[#This Row],[Ledger Code]])&gt;3,"AR"&amp;Table12_52_034[[#This Row],[Ledger Code]],"TBC")</f>
        <v>AR5619</v>
      </c>
      <c r="H258" s="43"/>
      <c r="I258" s="43"/>
      <c r="J258" s="43"/>
      <c r="K258" s="43"/>
      <c r="L258" s="43"/>
      <c r="M258" s="43"/>
      <c r="N258" s="43"/>
      <c r="O258" s="43"/>
      <c r="P258" s="45">
        <v>0</v>
      </c>
      <c r="Q258" s="45">
        <v>0</v>
      </c>
      <c r="R258" s="45">
        <v>-1.1368683772161603E-13</v>
      </c>
      <c r="S258" s="45">
        <v>0</v>
      </c>
      <c r="T258" s="45">
        <v>0</v>
      </c>
      <c r="U258" s="45">
        <v>0</v>
      </c>
      <c r="V258" s="45">
        <v>0</v>
      </c>
      <c r="W258" s="45">
        <v>0</v>
      </c>
    </row>
    <row r="259" spans="1:23" hidden="1" x14ac:dyDescent="0.25">
      <c r="A259" s="43">
        <v>1392</v>
      </c>
      <c r="B259" s="43">
        <v>5644</v>
      </c>
      <c r="C259" s="43" t="s">
        <v>458</v>
      </c>
      <c r="D259" s="43" t="s">
        <v>459</v>
      </c>
      <c r="E259" s="43" t="s">
        <v>429</v>
      </c>
      <c r="F259" s="43" t="s">
        <v>83</v>
      </c>
      <c r="G259" s="44" t="str">
        <f>IF(LEN(Table12_52_034[[#This Row],[Ledger Code]])&gt;3,"AR"&amp;Table12_52_034[[#This Row],[Ledger Code]],"TBC")</f>
        <v>AR5644</v>
      </c>
      <c r="H259" s="43"/>
      <c r="I259" s="43"/>
      <c r="J259" s="43"/>
      <c r="K259" s="43"/>
      <c r="L259" s="43"/>
      <c r="M259" s="43"/>
      <c r="N259" s="43"/>
      <c r="O259" s="43"/>
      <c r="P259" s="45">
        <v>0</v>
      </c>
      <c r="Q259" s="45">
        <v>638.11</v>
      </c>
      <c r="R259" s="45">
        <v>321.68999999999994</v>
      </c>
      <c r="S259" s="45">
        <v>263.68000000000006</v>
      </c>
      <c r="T259" s="45">
        <v>0</v>
      </c>
      <c r="U259" s="45">
        <v>0</v>
      </c>
      <c r="V259" s="45">
        <v>0</v>
      </c>
      <c r="W259" s="45">
        <v>6531.62</v>
      </c>
    </row>
    <row r="260" spans="1:23" hidden="1" x14ac:dyDescent="0.25">
      <c r="A260" s="43">
        <v>1412</v>
      </c>
      <c r="B260" s="43">
        <v>5733</v>
      </c>
      <c r="C260" s="43" t="s">
        <v>460</v>
      </c>
      <c r="D260" s="43" t="s">
        <v>461</v>
      </c>
      <c r="E260" s="43" t="s">
        <v>429</v>
      </c>
      <c r="F260" s="43" t="s">
        <v>83</v>
      </c>
      <c r="G260" s="44" t="str">
        <f>IF(LEN(Table12_52_034[[#This Row],[Ledger Code]])&gt;3,"AR"&amp;Table12_52_034[[#This Row],[Ledger Code]],"TBC")</f>
        <v>AR5733</v>
      </c>
      <c r="H260" s="43"/>
      <c r="I260" s="43"/>
      <c r="J260" s="43"/>
      <c r="K260" s="43"/>
      <c r="L260" s="43"/>
      <c r="M260" s="43"/>
      <c r="N260" s="43"/>
      <c r="O260" s="43"/>
      <c r="P260" s="45">
        <v>0</v>
      </c>
      <c r="Q260" s="45">
        <v>1180.78</v>
      </c>
      <c r="R260" s="45">
        <v>1001.0100000000002</v>
      </c>
      <c r="S260" s="45">
        <v>0</v>
      </c>
      <c r="T260" s="45">
        <v>0</v>
      </c>
      <c r="U260" s="45">
        <v>3542.7699999999995</v>
      </c>
      <c r="V260" s="45">
        <v>1438.42</v>
      </c>
      <c r="W260" s="45">
        <v>1635.3499999999997</v>
      </c>
    </row>
    <row r="261" spans="1:23" hidden="1" x14ac:dyDescent="0.25">
      <c r="A261" s="43">
        <v>1418</v>
      </c>
      <c r="B261" s="43">
        <v>5740</v>
      </c>
      <c r="C261" s="43" t="s">
        <v>442</v>
      </c>
      <c r="D261" s="43" t="s">
        <v>443</v>
      </c>
      <c r="E261" s="43" t="s">
        <v>429</v>
      </c>
      <c r="F261" s="43" t="s">
        <v>83</v>
      </c>
      <c r="G261" s="44" t="str">
        <f>IF(LEN(Table12_52_034[[#This Row],[Ledger Code]])&gt;3,"AR"&amp;Table12_52_034[[#This Row],[Ledger Code]],"TBC")</f>
        <v>AR5740</v>
      </c>
      <c r="H261" s="43"/>
      <c r="I261" s="43"/>
      <c r="J261" s="43"/>
      <c r="K261" s="43"/>
      <c r="L261" s="43"/>
      <c r="M261" s="43"/>
      <c r="N261" s="43"/>
      <c r="O261" s="43"/>
      <c r="P261" s="45">
        <v>0</v>
      </c>
      <c r="Q261" s="45">
        <v>291.88</v>
      </c>
      <c r="R261" s="45">
        <v>0</v>
      </c>
      <c r="S261" s="45">
        <v>677.21</v>
      </c>
      <c r="T261" s="45">
        <v>0</v>
      </c>
      <c r="U261" s="45">
        <v>830.70000000000016</v>
      </c>
      <c r="V261" s="45">
        <v>0</v>
      </c>
      <c r="W261" s="45">
        <v>735.82999999999993</v>
      </c>
    </row>
    <row r="262" spans="1:23" hidden="1" x14ac:dyDescent="0.25">
      <c r="A262" s="43">
        <v>1437</v>
      </c>
      <c r="B262" s="43">
        <v>5663</v>
      </c>
      <c r="C262" s="43" t="s">
        <v>464</v>
      </c>
      <c r="D262" s="43" t="s">
        <v>465</v>
      </c>
      <c r="E262" s="43" t="s">
        <v>429</v>
      </c>
      <c r="F262" s="43" t="s">
        <v>83</v>
      </c>
      <c r="G262" s="44" t="str">
        <f>IF(LEN(Table12_52_034[[#This Row],[Ledger Code]])&gt;3,"AR"&amp;Table12_52_034[[#This Row],[Ledger Code]],"TBC")</f>
        <v>AR5663</v>
      </c>
      <c r="H262" s="43"/>
      <c r="I262" s="43"/>
      <c r="J262" s="43"/>
      <c r="K262" s="43"/>
      <c r="L262" s="43"/>
      <c r="M262" s="43"/>
      <c r="N262" s="43"/>
      <c r="O262" s="43"/>
      <c r="P262" s="45">
        <v>506.11</v>
      </c>
      <c r="Q262" s="45">
        <v>0</v>
      </c>
      <c r="R262" s="45">
        <v>144.63</v>
      </c>
      <c r="S262" s="45">
        <v>0</v>
      </c>
      <c r="T262" s="45">
        <v>0</v>
      </c>
      <c r="U262" s="45">
        <v>455.75999999999988</v>
      </c>
      <c r="V262" s="45">
        <v>150.69999999999999</v>
      </c>
      <c r="W262" s="45">
        <v>0</v>
      </c>
    </row>
    <row r="263" spans="1:23" hidden="1" x14ac:dyDescent="0.25">
      <c r="A263" s="43">
        <v>2770</v>
      </c>
      <c r="B263" s="43">
        <v>6302</v>
      </c>
      <c r="C263" s="43" t="s">
        <v>466</v>
      </c>
      <c r="D263" s="43" t="s">
        <v>467</v>
      </c>
      <c r="E263" s="43" t="s">
        <v>429</v>
      </c>
      <c r="F263" s="43" t="s">
        <v>83</v>
      </c>
      <c r="G263" s="44" t="str">
        <f>IF(LEN(Table12_52_034[[#This Row],[Ledger Code]])&gt;3,"AR"&amp;Table12_52_034[[#This Row],[Ledger Code]],"TBC")</f>
        <v>AR6302</v>
      </c>
      <c r="H263" s="43"/>
      <c r="I263" s="43"/>
      <c r="J263" s="43"/>
      <c r="K263" s="43"/>
      <c r="L263" s="43"/>
      <c r="M263" s="43"/>
      <c r="N263" s="43"/>
      <c r="O263" s="43"/>
      <c r="P263" s="45">
        <v>0</v>
      </c>
      <c r="Q263" s="45">
        <v>240.57</v>
      </c>
      <c r="R263" s="45">
        <v>0</v>
      </c>
      <c r="S263" s="45">
        <v>321.16000000000003</v>
      </c>
      <c r="T263" s="45">
        <v>0</v>
      </c>
      <c r="U263" s="45">
        <v>290.35000000000002</v>
      </c>
      <c r="V263" s="45">
        <v>0</v>
      </c>
      <c r="W263" s="45">
        <v>-5.6843418860808015E-14</v>
      </c>
    </row>
    <row r="264" spans="1:23" hidden="1" x14ac:dyDescent="0.25">
      <c r="A264" s="43">
        <v>2779</v>
      </c>
      <c r="B264" s="43">
        <v>6311</v>
      </c>
      <c r="C264" s="43" t="s">
        <v>427</v>
      </c>
      <c r="D264" s="43" t="s">
        <v>428</v>
      </c>
      <c r="E264" s="43" t="s">
        <v>429</v>
      </c>
      <c r="F264" s="43" t="s">
        <v>83</v>
      </c>
      <c r="G264" s="44" t="str">
        <f>IF(LEN(Table12_52_034[[#This Row],[Ledger Code]])&gt;3,"AR"&amp;Table12_52_034[[#This Row],[Ledger Code]],"TBC")</f>
        <v>AR6311</v>
      </c>
      <c r="H264" s="43"/>
      <c r="I264" s="43"/>
      <c r="J264" s="43"/>
      <c r="K264" s="43"/>
      <c r="L264" s="43"/>
      <c r="M264" s="43"/>
      <c r="N264" s="43"/>
      <c r="O264" s="43"/>
      <c r="P264" s="45">
        <v>2162.69</v>
      </c>
      <c r="Q264" s="45">
        <v>-4.5474735088646412E-13</v>
      </c>
      <c r="R264" s="45">
        <v>9392.0799999999981</v>
      </c>
      <c r="S264" s="45">
        <v>4835.0600000000004</v>
      </c>
      <c r="T264" s="45">
        <v>6970.37</v>
      </c>
      <c r="U264" s="45">
        <v>4929.29</v>
      </c>
      <c r="V264" s="45">
        <v>944.12</v>
      </c>
      <c r="W264" s="45">
        <v>0</v>
      </c>
    </row>
    <row r="265" spans="1:23" hidden="1" x14ac:dyDescent="0.25">
      <c r="A265" s="43">
        <v>2965</v>
      </c>
      <c r="B265" s="43">
        <v>6333</v>
      </c>
      <c r="C265" s="43" t="s">
        <v>438</v>
      </c>
      <c r="D265" s="43" t="s">
        <v>439</v>
      </c>
      <c r="E265" s="43" t="s">
        <v>429</v>
      </c>
      <c r="F265" s="43" t="s">
        <v>83</v>
      </c>
      <c r="G265" s="44" t="str">
        <f>IF(LEN(Table12_52_034[[#This Row],[Ledger Code]])&gt;3,"AR"&amp;Table12_52_034[[#This Row],[Ledger Code]],"TBC")</f>
        <v>AR6333</v>
      </c>
      <c r="H265" s="43"/>
      <c r="I265" s="43"/>
      <c r="J265" s="43"/>
      <c r="K265" s="43"/>
      <c r="L265" s="43"/>
      <c r="M265" s="43"/>
      <c r="N265" s="43"/>
      <c r="O265" s="43"/>
      <c r="P265" s="45">
        <v>0</v>
      </c>
      <c r="Q265" s="45">
        <v>228.62</v>
      </c>
      <c r="R265" s="45">
        <v>187.19</v>
      </c>
      <c r="S265" s="45">
        <v>191.60999999999996</v>
      </c>
      <c r="T265" s="45">
        <v>0</v>
      </c>
      <c r="U265" s="45">
        <v>179.65</v>
      </c>
      <c r="V265" s="45">
        <v>0</v>
      </c>
      <c r="W265" s="45">
        <v>0</v>
      </c>
    </row>
    <row r="266" spans="1:23" hidden="1" x14ac:dyDescent="0.25">
      <c r="A266" s="43">
        <v>2976</v>
      </c>
      <c r="B266" s="43">
        <v>6345</v>
      </c>
      <c r="C266" s="43" t="s">
        <v>440</v>
      </c>
      <c r="D266" s="43" t="s">
        <v>441</v>
      </c>
      <c r="E266" s="43" t="s">
        <v>429</v>
      </c>
      <c r="F266" s="43" t="s">
        <v>83</v>
      </c>
      <c r="G266" s="44" t="str">
        <f>IF(LEN(Table12_52_034[[#This Row],[Ledger Code]])&gt;3,"AR"&amp;Table12_52_034[[#This Row],[Ledger Code]],"TBC")</f>
        <v>AR6345</v>
      </c>
      <c r="H266" s="43"/>
      <c r="I266" s="43"/>
      <c r="J266" s="43"/>
      <c r="K266" s="43"/>
      <c r="L266" s="43"/>
      <c r="M266" s="43"/>
      <c r="N266" s="43"/>
      <c r="O266" s="43"/>
      <c r="P266" s="45">
        <v>0</v>
      </c>
      <c r="Q266" s="45">
        <v>130.07</v>
      </c>
      <c r="R266" s="45">
        <v>0</v>
      </c>
      <c r="S266" s="45">
        <v>0</v>
      </c>
      <c r="T266" s="45">
        <v>0</v>
      </c>
      <c r="U266" s="45">
        <v>0</v>
      </c>
      <c r="V266" s="45">
        <v>0</v>
      </c>
      <c r="W266" s="45">
        <v>0</v>
      </c>
    </row>
    <row r="267" spans="1:23" hidden="1" x14ac:dyDescent="0.25">
      <c r="A267" s="43">
        <v>3037</v>
      </c>
      <c r="B267" s="43">
        <v>6223</v>
      </c>
      <c r="C267" s="43" t="s">
        <v>432</v>
      </c>
      <c r="D267" s="43" t="s">
        <v>433</v>
      </c>
      <c r="E267" s="43" t="s">
        <v>429</v>
      </c>
      <c r="F267" s="43" t="s">
        <v>83</v>
      </c>
      <c r="G267" s="44" t="str">
        <f>IF(LEN(Table12_52_034[[#This Row],[Ledger Code]])&gt;3,"AR"&amp;Table12_52_034[[#This Row],[Ledger Code]],"TBC")</f>
        <v>AR6223</v>
      </c>
      <c r="H267" s="43"/>
      <c r="I267" s="43"/>
      <c r="J267" s="43"/>
      <c r="K267" s="43"/>
      <c r="L267" s="43"/>
      <c r="M267" s="43"/>
      <c r="N267" s="43"/>
      <c r="O267" s="43"/>
      <c r="P267" s="45">
        <v>0</v>
      </c>
      <c r="Q267" s="45">
        <v>0</v>
      </c>
      <c r="R267" s="45">
        <v>0</v>
      </c>
      <c r="S267" s="45">
        <v>0</v>
      </c>
      <c r="T267" s="45">
        <v>0</v>
      </c>
      <c r="U267" s="45">
        <v>0</v>
      </c>
      <c r="V267" s="45">
        <v>0</v>
      </c>
      <c r="W267" s="45">
        <v>0</v>
      </c>
    </row>
    <row r="268" spans="1:23" hidden="1" x14ac:dyDescent="0.25">
      <c r="A268" s="43">
        <v>3432</v>
      </c>
      <c r="B268" s="43">
        <v>6527</v>
      </c>
      <c r="C268" s="43" t="s">
        <v>468</v>
      </c>
      <c r="D268" s="43" t="s">
        <v>203</v>
      </c>
      <c r="E268" s="43" t="s">
        <v>429</v>
      </c>
      <c r="F268" s="43" t="s">
        <v>83</v>
      </c>
      <c r="G268" s="44" t="str">
        <f>IF(LEN(Table12_52_034[[#This Row],[Ledger Code]])&gt;3,"AR"&amp;Table12_52_034[[#This Row],[Ledger Code]],"TBC")</f>
        <v>AR6527</v>
      </c>
      <c r="H268" s="43"/>
      <c r="I268" s="43"/>
      <c r="J268" s="43"/>
      <c r="K268" s="43"/>
      <c r="L268" s="43"/>
      <c r="M268" s="43"/>
      <c r="N268" s="43"/>
      <c r="O268" s="43"/>
      <c r="P268" s="45">
        <v>0</v>
      </c>
      <c r="Q268" s="45">
        <v>0</v>
      </c>
      <c r="R268" s="45">
        <v>0</v>
      </c>
      <c r="S268" s="45">
        <v>302.90999999999997</v>
      </c>
      <c r="T268" s="45">
        <v>58.04</v>
      </c>
      <c r="U268" s="45">
        <v>7.1054273576010019E-15</v>
      </c>
      <c r="V268" s="45">
        <v>209.07999999999998</v>
      </c>
      <c r="W268" s="45">
        <v>200.19</v>
      </c>
    </row>
    <row r="269" spans="1:23" hidden="1" x14ac:dyDescent="0.25">
      <c r="A269" s="43">
        <v>3433</v>
      </c>
      <c r="B269" s="43">
        <v>6527</v>
      </c>
      <c r="C269" s="43" t="s">
        <v>469</v>
      </c>
      <c r="D269" s="43" t="s">
        <v>203</v>
      </c>
      <c r="E269" s="43" t="s">
        <v>429</v>
      </c>
      <c r="F269" s="43" t="s">
        <v>83</v>
      </c>
      <c r="G269" s="44" t="str">
        <f>IF(LEN(Table12_52_034[[#This Row],[Ledger Code]])&gt;3,"AR"&amp;Table12_52_034[[#This Row],[Ledger Code]],"TBC")</f>
        <v>AR6527</v>
      </c>
      <c r="H269" s="43"/>
      <c r="I269" s="43"/>
      <c r="J269" s="43"/>
      <c r="K269" s="43"/>
      <c r="L269" s="43"/>
      <c r="M269" s="43"/>
      <c r="N269" s="43"/>
      <c r="O269" s="43"/>
      <c r="P269" s="45">
        <v>0</v>
      </c>
      <c r="Q269" s="45">
        <v>0</v>
      </c>
      <c r="R269" s="45">
        <v>0</v>
      </c>
      <c r="S269" s="45">
        <v>302.90999999999997</v>
      </c>
      <c r="T269" s="45">
        <v>58.04</v>
      </c>
      <c r="U269" s="45">
        <v>7.1054273576010019E-15</v>
      </c>
      <c r="V269" s="45">
        <v>209.07999999999998</v>
      </c>
      <c r="W269" s="45">
        <v>200.19</v>
      </c>
    </row>
    <row r="270" spans="1:23" hidden="1" x14ac:dyDescent="0.25">
      <c r="A270" s="43">
        <v>3473</v>
      </c>
      <c r="B270" s="43">
        <v>6481</v>
      </c>
      <c r="C270" s="43" t="s">
        <v>434</v>
      </c>
      <c r="D270" s="43" t="s">
        <v>435</v>
      </c>
      <c r="E270" s="43" t="s">
        <v>429</v>
      </c>
      <c r="F270" s="43" t="s">
        <v>83</v>
      </c>
      <c r="G270" s="44" t="str">
        <f>IF(LEN(Table12_52_034[[#This Row],[Ledger Code]])&gt;3,"AR"&amp;Table12_52_034[[#This Row],[Ledger Code]],"TBC")</f>
        <v>AR6481</v>
      </c>
      <c r="H270" s="43"/>
      <c r="I270" s="43"/>
      <c r="J270" s="43"/>
      <c r="K270" s="43"/>
      <c r="L270" s="43"/>
      <c r="M270" s="43"/>
      <c r="N270" s="43"/>
      <c r="O270" s="43"/>
      <c r="P270" s="45">
        <v>1643.49</v>
      </c>
      <c r="Q270" s="45">
        <v>4078.25</v>
      </c>
      <c r="R270" s="45">
        <v>-5026.8700000000008</v>
      </c>
      <c r="S270" s="45">
        <v>14725.959999999995</v>
      </c>
      <c r="T270" s="45">
        <v>19728.87</v>
      </c>
      <c r="U270" s="45">
        <v>4143.0000000000009</v>
      </c>
      <c r="V270" s="45">
        <v>0</v>
      </c>
      <c r="W270" s="45">
        <v>0</v>
      </c>
    </row>
    <row r="271" spans="1:23" hidden="1" x14ac:dyDescent="0.25">
      <c r="A271" s="43">
        <v>3484</v>
      </c>
      <c r="B271" s="43">
        <v>6508</v>
      </c>
      <c r="C271" s="43" t="s">
        <v>472</v>
      </c>
      <c r="D271" s="43" t="s">
        <v>473</v>
      </c>
      <c r="E271" s="43" t="s">
        <v>429</v>
      </c>
      <c r="F271" s="43" t="s">
        <v>83</v>
      </c>
      <c r="G271" s="44" t="str">
        <f>IF(LEN(Table12_52_034[[#This Row],[Ledger Code]])&gt;3,"AR"&amp;Table12_52_034[[#This Row],[Ledger Code]],"TBC")</f>
        <v>AR6508</v>
      </c>
      <c r="H271" s="43"/>
      <c r="I271" s="43"/>
      <c r="J271" s="43"/>
      <c r="K271" s="43"/>
      <c r="L271" s="43"/>
      <c r="M271" s="43"/>
      <c r="N271" s="43"/>
      <c r="O271" s="43"/>
      <c r="P271" s="45">
        <v>0</v>
      </c>
      <c r="Q271" s="45">
        <v>0</v>
      </c>
      <c r="R271" s="45">
        <v>1368.84</v>
      </c>
      <c r="S271" s="45">
        <v>1721.3899999999999</v>
      </c>
      <c r="T271" s="45">
        <v>0</v>
      </c>
      <c r="U271" s="45">
        <v>2512.3600000000006</v>
      </c>
      <c r="V271" s="45">
        <v>1914.28</v>
      </c>
      <c r="W271" s="45">
        <v>0</v>
      </c>
    </row>
    <row r="272" spans="1:23" hidden="1" x14ac:dyDescent="0.25">
      <c r="A272" s="43">
        <v>3551</v>
      </c>
      <c r="B272" s="43">
        <v>6479</v>
      </c>
      <c r="C272" s="43" t="s">
        <v>462</v>
      </c>
      <c r="D272" s="43" t="s">
        <v>463</v>
      </c>
      <c r="E272" s="43" t="s">
        <v>429</v>
      </c>
      <c r="F272" s="43" t="s">
        <v>83</v>
      </c>
      <c r="G272" s="44" t="str">
        <f>IF(LEN(Table12_52_034[[#This Row],[Ledger Code]])&gt;3,"AR"&amp;Table12_52_034[[#This Row],[Ledger Code]],"TBC")</f>
        <v>AR6479</v>
      </c>
      <c r="H272" s="43"/>
      <c r="I272" s="43"/>
      <c r="J272" s="43"/>
      <c r="K272" s="43"/>
      <c r="L272" s="43"/>
      <c r="M272" s="43"/>
      <c r="N272" s="43"/>
      <c r="O272" s="43"/>
      <c r="P272" s="45">
        <v>0</v>
      </c>
      <c r="Q272" s="45">
        <v>0</v>
      </c>
      <c r="R272" s="45">
        <v>4844.8900000000003</v>
      </c>
      <c r="S272" s="45">
        <v>0</v>
      </c>
      <c r="T272" s="45">
        <v>4684.2</v>
      </c>
      <c r="U272" s="45">
        <v>2617.1</v>
      </c>
      <c r="V272" s="45">
        <v>14333.6</v>
      </c>
      <c r="W272" s="45">
        <v>2320.9</v>
      </c>
    </row>
    <row r="273" spans="1:23" hidden="1" x14ac:dyDescent="0.25">
      <c r="A273" s="43">
        <v>3559</v>
      </c>
      <c r="B273" s="43">
        <v>6459</v>
      </c>
      <c r="C273" s="43" t="s">
        <v>436</v>
      </c>
      <c r="D273" s="43" t="s">
        <v>437</v>
      </c>
      <c r="E273" s="43" t="s">
        <v>429</v>
      </c>
      <c r="F273" s="43" t="s">
        <v>83</v>
      </c>
      <c r="G273" s="44" t="str">
        <f>IF(LEN(Table12_52_034[[#This Row],[Ledger Code]])&gt;3,"AR"&amp;Table12_52_034[[#This Row],[Ledger Code]],"TBC")</f>
        <v>AR6459</v>
      </c>
      <c r="H273" s="43"/>
      <c r="I273" s="43"/>
      <c r="J273" s="43"/>
      <c r="K273" s="43"/>
      <c r="L273" s="43"/>
      <c r="M273" s="43"/>
      <c r="N273" s="43"/>
      <c r="O273" s="43"/>
      <c r="P273" s="45">
        <v>240</v>
      </c>
      <c r="Q273" s="45">
        <v>0</v>
      </c>
      <c r="R273" s="45">
        <v>-7.1054273576010019E-15</v>
      </c>
      <c r="S273" s="45">
        <v>0</v>
      </c>
      <c r="T273" s="45">
        <v>309.82000000000005</v>
      </c>
      <c r="U273" s="45">
        <v>0</v>
      </c>
      <c r="V273" s="45">
        <v>0</v>
      </c>
      <c r="W273" s="45">
        <v>0</v>
      </c>
    </row>
    <row r="274" spans="1:23" hidden="1" x14ac:dyDescent="0.25">
      <c r="A274" s="43">
        <v>4560</v>
      </c>
      <c r="B274" s="43">
        <v>6645</v>
      </c>
      <c r="C274" s="43" t="s">
        <v>476</v>
      </c>
      <c r="D274" s="43" t="s">
        <v>477</v>
      </c>
      <c r="E274" s="43" t="s">
        <v>429</v>
      </c>
      <c r="F274" s="43" t="s">
        <v>10</v>
      </c>
      <c r="G274" s="44" t="str">
        <f>IF(LEN(Table12_52_034[[#This Row],[Ledger Code]])&gt;3,"AR"&amp;Table12_52_034[[#This Row],[Ledger Code]],"TBC")</f>
        <v>AR6645</v>
      </c>
      <c r="H274" s="43"/>
      <c r="I274" s="43"/>
      <c r="J274" s="43"/>
      <c r="K274" s="43"/>
      <c r="L274" s="43"/>
      <c r="M274" s="43"/>
      <c r="N274" s="43"/>
      <c r="O274" s="43"/>
      <c r="P274" s="45">
        <v>0</v>
      </c>
      <c r="Q274" s="45">
        <v>0</v>
      </c>
      <c r="R274" s="45">
        <v>0</v>
      </c>
      <c r="S274" s="45">
        <v>0</v>
      </c>
      <c r="T274" s="45">
        <v>0</v>
      </c>
      <c r="U274" s="45">
        <v>0</v>
      </c>
      <c r="V274" s="45">
        <v>0</v>
      </c>
      <c r="W274" s="45">
        <v>0</v>
      </c>
    </row>
    <row r="275" spans="1:23" hidden="1" x14ac:dyDescent="0.25">
      <c r="A275" s="43">
        <v>4584</v>
      </c>
      <c r="B275" s="43">
        <v>6598</v>
      </c>
      <c r="C275" s="43" t="s">
        <v>470</v>
      </c>
      <c r="D275" s="43" t="s">
        <v>471</v>
      </c>
      <c r="E275" s="43" t="s">
        <v>429</v>
      </c>
      <c r="F275" s="43" t="s">
        <v>10</v>
      </c>
      <c r="G275" s="44" t="str">
        <f>IF(LEN(Table12_52_034[[#This Row],[Ledger Code]])&gt;3,"AR"&amp;Table12_52_034[[#This Row],[Ledger Code]],"TBC")</f>
        <v>AR6598</v>
      </c>
      <c r="H275" s="43"/>
      <c r="I275" s="43"/>
      <c r="J275" s="43"/>
      <c r="K275" s="43"/>
      <c r="L275" s="43"/>
      <c r="M275" s="43"/>
      <c r="N275" s="43"/>
      <c r="O275" s="43"/>
      <c r="P275" s="45">
        <v>0</v>
      </c>
      <c r="Q275" s="45">
        <v>960.27</v>
      </c>
      <c r="R275" s="45">
        <v>0</v>
      </c>
      <c r="S275" s="45">
        <v>899.20000000000107</v>
      </c>
      <c r="T275" s="45">
        <v>296.53999999999996</v>
      </c>
      <c r="U275" s="45">
        <v>691.71</v>
      </c>
      <c r="V275" s="45">
        <v>5.6843418860808015E-14</v>
      </c>
      <c r="W275" s="45">
        <v>0</v>
      </c>
    </row>
    <row r="276" spans="1:23" hidden="1" x14ac:dyDescent="0.25">
      <c r="A276" s="43">
        <v>4540</v>
      </c>
      <c r="B276" s="43">
        <v>6557</v>
      </c>
      <c r="C276" s="43" t="s">
        <v>480</v>
      </c>
      <c r="D276" s="43" t="s">
        <v>481</v>
      </c>
      <c r="E276" s="43" t="s">
        <v>429</v>
      </c>
      <c r="F276" s="43" t="s">
        <v>10</v>
      </c>
      <c r="G276" s="44" t="str">
        <f>IF(LEN(Table12_52_034[[#This Row],[Ledger Code]])&gt;3,"AR"&amp;Table12_52_034[[#This Row],[Ledger Code]],"TBC")</f>
        <v>AR6557</v>
      </c>
      <c r="H276" s="43"/>
      <c r="I276" s="43"/>
      <c r="J276" s="43"/>
      <c r="K276" s="43"/>
      <c r="L276" s="43"/>
      <c r="M276" s="43"/>
      <c r="N276" s="43"/>
      <c r="O276" s="43"/>
      <c r="P276" s="45">
        <v>0</v>
      </c>
      <c r="Q276" s="45">
        <v>0</v>
      </c>
      <c r="R276" s="45">
        <v>0</v>
      </c>
      <c r="S276" s="45">
        <v>0</v>
      </c>
      <c r="T276" s="45">
        <v>0</v>
      </c>
      <c r="U276" s="45">
        <v>0</v>
      </c>
      <c r="V276" s="45">
        <v>0</v>
      </c>
      <c r="W276" s="45">
        <v>0</v>
      </c>
    </row>
    <row r="277" spans="1:23" hidden="1" x14ac:dyDescent="0.25">
      <c r="A277" s="43">
        <v>4550</v>
      </c>
      <c r="B277" s="43">
        <v>6635</v>
      </c>
      <c r="C277" s="43" t="s">
        <v>482</v>
      </c>
      <c r="D277" s="43" t="s">
        <v>483</v>
      </c>
      <c r="E277" s="43" t="s">
        <v>429</v>
      </c>
      <c r="F277" s="43" t="s">
        <v>10</v>
      </c>
      <c r="G277" s="44" t="str">
        <f>IF(LEN(Table12_52_034[[#This Row],[Ledger Code]])&gt;3,"AR"&amp;Table12_52_034[[#This Row],[Ledger Code]],"TBC")</f>
        <v>AR6635</v>
      </c>
      <c r="H277" s="43"/>
      <c r="I277" s="43"/>
      <c r="J277" s="43"/>
      <c r="K277" s="43"/>
      <c r="L277" s="43"/>
      <c r="M277" s="43"/>
      <c r="N277" s="43"/>
      <c r="O277" s="43"/>
      <c r="P277" s="45">
        <v>0</v>
      </c>
      <c r="Q277" s="45">
        <v>1120.1199999999999</v>
      </c>
      <c r="R277" s="45">
        <v>388.37000000000012</v>
      </c>
      <c r="S277" s="45">
        <v>1657.4699999999993</v>
      </c>
      <c r="T277" s="45">
        <v>605.91999999999985</v>
      </c>
      <c r="U277" s="45">
        <v>114.65999999999957</v>
      </c>
      <c r="V277" s="45">
        <v>2038.69</v>
      </c>
      <c r="W277" s="45">
        <v>0</v>
      </c>
    </row>
    <row r="278" spans="1:23" hidden="1" x14ac:dyDescent="0.25">
      <c r="A278" s="43">
        <v>694</v>
      </c>
      <c r="B278" s="43">
        <v>5469</v>
      </c>
      <c r="C278" s="43" t="s">
        <v>485</v>
      </c>
      <c r="D278" s="43" t="s">
        <v>486</v>
      </c>
      <c r="E278" s="43" t="s">
        <v>429</v>
      </c>
      <c r="F278" s="43" t="s">
        <v>10</v>
      </c>
      <c r="G278" s="44" t="str">
        <f>IF(LEN(Table12_52_034[[#This Row],[Ledger Code]])&gt;3,"AR"&amp;Table12_52_034[[#This Row],[Ledger Code]],"TBC")</f>
        <v>AR5469</v>
      </c>
      <c r="H278" s="43"/>
      <c r="I278" s="43"/>
      <c r="J278" s="43"/>
      <c r="K278" s="43"/>
      <c r="L278" s="43"/>
      <c r="M278" s="43"/>
      <c r="N278" s="43"/>
      <c r="O278" s="43"/>
      <c r="P278" s="45">
        <v>0</v>
      </c>
      <c r="Q278" s="45">
        <v>0</v>
      </c>
      <c r="R278" s="45">
        <v>0</v>
      </c>
      <c r="S278" s="45">
        <v>0</v>
      </c>
      <c r="T278" s="45">
        <v>0</v>
      </c>
      <c r="U278" s="45">
        <v>0</v>
      </c>
      <c r="V278" s="45">
        <v>0</v>
      </c>
      <c r="W278" s="45">
        <v>0</v>
      </c>
    </row>
    <row r="279" spans="1:23" hidden="1" x14ac:dyDescent="0.25">
      <c r="A279" s="43">
        <v>753</v>
      </c>
      <c r="B279" s="43">
        <v>5522</v>
      </c>
      <c r="C279" s="43" t="s">
        <v>474</v>
      </c>
      <c r="D279" s="43" t="s">
        <v>475</v>
      </c>
      <c r="E279" s="43" t="s">
        <v>429</v>
      </c>
      <c r="F279" s="43" t="s">
        <v>10</v>
      </c>
      <c r="G279" s="44" t="str">
        <f>IF(LEN(Table12_52_034[[#This Row],[Ledger Code]])&gt;3,"AR"&amp;Table12_52_034[[#This Row],[Ledger Code]],"TBC")</f>
        <v>AR5522</v>
      </c>
      <c r="H279" s="43"/>
      <c r="I279" s="43"/>
      <c r="J279" s="43"/>
      <c r="K279" s="43"/>
      <c r="L279" s="43"/>
      <c r="M279" s="43"/>
      <c r="N279" s="43"/>
      <c r="O279" s="43"/>
      <c r="P279" s="45">
        <v>0</v>
      </c>
      <c r="Q279" s="45">
        <v>1043.8600000000001</v>
      </c>
      <c r="R279" s="45">
        <v>256.7</v>
      </c>
      <c r="S279" s="45">
        <v>596.27</v>
      </c>
      <c r="T279" s="45">
        <v>136.77000000000001</v>
      </c>
      <c r="U279" s="45">
        <v>922.99000000000092</v>
      </c>
      <c r="V279" s="45">
        <v>-2.2737367544323206E-13</v>
      </c>
      <c r="W279" s="45">
        <v>648.27999999999975</v>
      </c>
    </row>
    <row r="280" spans="1:23" hidden="1" x14ac:dyDescent="0.25">
      <c r="A280" s="43">
        <v>118</v>
      </c>
      <c r="B280" s="43">
        <v>5060</v>
      </c>
      <c r="C280" s="43" t="s">
        <v>487</v>
      </c>
      <c r="D280" s="43" t="s">
        <v>488</v>
      </c>
      <c r="E280" s="43" t="s">
        <v>429</v>
      </c>
      <c r="F280" s="43" t="s">
        <v>10</v>
      </c>
      <c r="G280" s="44" t="str">
        <f>IF(LEN(Table12_52_034[[#This Row],[Ledger Code]])&gt;3,"AR"&amp;Table12_52_034[[#This Row],[Ledger Code]],"TBC")</f>
        <v>AR5060</v>
      </c>
      <c r="H280" s="43"/>
      <c r="I280" s="43"/>
      <c r="J280" s="43"/>
      <c r="K280" s="43"/>
      <c r="L280" s="43"/>
      <c r="M280" s="43"/>
      <c r="N280" s="43"/>
      <c r="O280" s="43"/>
      <c r="P280" s="45">
        <v>0</v>
      </c>
      <c r="Q280" s="45">
        <v>0</v>
      </c>
      <c r="R280" s="45">
        <v>0</v>
      </c>
      <c r="S280" s="45">
        <v>0</v>
      </c>
      <c r="T280" s="45">
        <v>0</v>
      </c>
      <c r="U280" s="45">
        <v>0</v>
      </c>
      <c r="V280" s="45">
        <v>0</v>
      </c>
      <c r="W280" s="45">
        <v>0</v>
      </c>
    </row>
    <row r="281" spans="1:23" hidden="1" x14ac:dyDescent="0.25">
      <c r="A281" s="43">
        <v>133</v>
      </c>
      <c r="B281" s="43">
        <v>5090</v>
      </c>
      <c r="C281" s="43" t="s">
        <v>489</v>
      </c>
      <c r="D281" s="43" t="s">
        <v>490</v>
      </c>
      <c r="E281" s="43" t="s">
        <v>429</v>
      </c>
      <c r="F281" s="43" t="s">
        <v>10</v>
      </c>
      <c r="G281" s="44" t="str">
        <f>IF(LEN(Table12_52_034[[#This Row],[Ledger Code]])&gt;3,"AR"&amp;Table12_52_034[[#This Row],[Ledger Code]],"TBC")</f>
        <v>AR5090</v>
      </c>
      <c r="H281" s="43"/>
      <c r="I281" s="43"/>
      <c r="J281" s="43"/>
      <c r="K281" s="43"/>
      <c r="L281" s="43"/>
      <c r="M281" s="43"/>
      <c r="N281" s="43"/>
      <c r="O281" s="43"/>
      <c r="P281" s="45">
        <v>86.03</v>
      </c>
      <c r="Q281" s="45">
        <v>0</v>
      </c>
      <c r="R281" s="45">
        <v>122.38</v>
      </c>
      <c r="S281" s="45">
        <v>1.1368683772161603E-13</v>
      </c>
      <c r="T281" s="45">
        <v>62.3</v>
      </c>
      <c r="U281" s="45">
        <v>78.620000000000033</v>
      </c>
      <c r="V281" s="45">
        <v>139.99</v>
      </c>
      <c r="W281" s="45">
        <v>0</v>
      </c>
    </row>
    <row r="282" spans="1:23" hidden="1" x14ac:dyDescent="0.25">
      <c r="A282" s="43" t="s">
        <v>628</v>
      </c>
      <c r="B282" s="43" t="s">
        <v>387</v>
      </c>
      <c r="C282" s="43" t="s">
        <v>491</v>
      </c>
      <c r="D282" s="43" t="s">
        <v>492</v>
      </c>
      <c r="E282" s="43" t="s">
        <v>429</v>
      </c>
      <c r="F282" s="43" t="s">
        <v>10</v>
      </c>
      <c r="G282" s="44" t="str">
        <f>IF(LEN(Table12_52_034[[#This Row],[Ledger Code]])&gt;3,"AR"&amp;Table12_52_034[[#This Row],[Ledger Code]],"TBC")</f>
        <v>TBC</v>
      </c>
      <c r="H282" s="43"/>
      <c r="I282" s="43"/>
      <c r="J282" s="43"/>
      <c r="K282" s="43"/>
      <c r="L282" s="43"/>
      <c r="M282" s="43"/>
      <c r="N282" s="43"/>
      <c r="O282" s="43"/>
      <c r="P282" s="45">
        <v>0</v>
      </c>
      <c r="Q282" s="45">
        <v>0</v>
      </c>
      <c r="R282" s="45">
        <v>0</v>
      </c>
      <c r="S282" s="45">
        <v>0</v>
      </c>
      <c r="T282" s="45">
        <v>0</v>
      </c>
      <c r="U282" s="45">
        <v>0</v>
      </c>
      <c r="V282" s="45">
        <v>0</v>
      </c>
      <c r="W282" s="45">
        <v>0</v>
      </c>
    </row>
    <row r="283" spans="1:23" hidden="1" x14ac:dyDescent="0.25">
      <c r="A283" s="43">
        <v>227</v>
      </c>
      <c r="B283" s="43">
        <v>5028</v>
      </c>
      <c r="C283" s="43" t="s">
        <v>493</v>
      </c>
      <c r="D283" s="43" t="s">
        <v>494</v>
      </c>
      <c r="E283" s="43" t="s">
        <v>429</v>
      </c>
      <c r="F283" s="43" t="s">
        <v>10</v>
      </c>
      <c r="G283" s="44" t="str">
        <f>IF(LEN(Table12_52_034[[#This Row],[Ledger Code]])&gt;3,"AR"&amp;Table12_52_034[[#This Row],[Ledger Code]],"TBC")</f>
        <v>AR5028</v>
      </c>
      <c r="H283" s="43"/>
      <c r="I283" s="43"/>
      <c r="J283" s="43"/>
      <c r="K283" s="43"/>
      <c r="L283" s="43"/>
      <c r="M283" s="43"/>
      <c r="N283" s="43"/>
      <c r="O283" s="43"/>
      <c r="P283" s="45">
        <v>0</v>
      </c>
      <c r="Q283" s="45">
        <v>0</v>
      </c>
      <c r="R283" s="45">
        <v>0</v>
      </c>
      <c r="S283" s="45">
        <v>0</v>
      </c>
      <c r="T283" s="45">
        <v>0</v>
      </c>
      <c r="U283" s="45">
        <v>0</v>
      </c>
      <c r="V283" s="45">
        <v>0</v>
      </c>
      <c r="W283" s="45">
        <v>0</v>
      </c>
    </row>
    <row r="284" spans="1:23" hidden="1" x14ac:dyDescent="0.25">
      <c r="A284" s="43">
        <v>3961</v>
      </c>
      <c r="B284" s="43">
        <v>7074</v>
      </c>
      <c r="C284" s="43" t="s">
        <v>406</v>
      </c>
      <c r="D284" s="43" t="s">
        <v>219</v>
      </c>
      <c r="E284" s="43" t="s">
        <v>220</v>
      </c>
      <c r="F284" s="43" t="s">
        <v>221</v>
      </c>
      <c r="G284" s="44" t="str">
        <f>IF(LEN(Table12_52_034[[#This Row],[Ledger Code]])&gt;3,"AR"&amp;Table12_52_034[[#This Row],[Ledger Code]],"TBC")</f>
        <v>AR7074</v>
      </c>
      <c r="H284" s="43"/>
      <c r="I284" s="43"/>
      <c r="J284" s="43"/>
      <c r="K284" s="43"/>
      <c r="L284" s="43"/>
      <c r="M284" s="43"/>
      <c r="N284" s="43"/>
      <c r="O284" s="43"/>
      <c r="P284" s="45">
        <v>0</v>
      </c>
      <c r="Q284" s="45">
        <v>0</v>
      </c>
      <c r="R284" s="45">
        <v>0</v>
      </c>
      <c r="S284" s="45">
        <v>0</v>
      </c>
      <c r="T284" s="45">
        <v>0</v>
      </c>
      <c r="U284" s="45">
        <v>0</v>
      </c>
      <c r="V284" s="45">
        <v>0</v>
      </c>
      <c r="W284" s="45">
        <v>0</v>
      </c>
    </row>
    <row r="285" spans="1:23" hidden="1" x14ac:dyDescent="0.25">
      <c r="A285" s="43">
        <v>4029</v>
      </c>
      <c r="B285" s="43">
        <v>7229</v>
      </c>
      <c r="C285" s="43" t="s">
        <v>407</v>
      </c>
      <c r="D285" s="43" t="s">
        <v>408</v>
      </c>
      <c r="E285" s="43" t="s">
        <v>220</v>
      </c>
      <c r="F285" s="43" t="s">
        <v>221</v>
      </c>
      <c r="G285" s="44" t="str">
        <f>IF(LEN(Table12_52_034[[#This Row],[Ledger Code]])&gt;3,"AR"&amp;Table12_52_034[[#This Row],[Ledger Code]],"TBC")</f>
        <v>AR7229</v>
      </c>
      <c r="H285" s="43"/>
      <c r="I285" s="43"/>
      <c r="J285" s="43"/>
      <c r="K285" s="43"/>
      <c r="L285" s="43"/>
      <c r="M285" s="43"/>
      <c r="N285" s="43"/>
      <c r="O285" s="43"/>
      <c r="P285" s="45">
        <v>0</v>
      </c>
      <c r="Q285" s="45">
        <v>777.57</v>
      </c>
      <c r="R285" s="45">
        <v>1516.5300000000002</v>
      </c>
      <c r="S285" s="45">
        <v>663.94000000000017</v>
      </c>
      <c r="T285" s="45">
        <v>4554.55</v>
      </c>
      <c r="U285" s="45">
        <v>3667.3</v>
      </c>
      <c r="V285" s="45">
        <v>3143.52</v>
      </c>
      <c r="W285" s="45">
        <v>-2.2737367544323206E-13</v>
      </c>
    </row>
    <row r="286" spans="1:23" hidden="1" x14ac:dyDescent="0.25">
      <c r="A286" s="43">
        <v>4003</v>
      </c>
      <c r="B286" s="43">
        <v>7148</v>
      </c>
      <c r="C286" s="43" t="s">
        <v>409</v>
      </c>
      <c r="D286" s="43" t="s">
        <v>410</v>
      </c>
      <c r="E286" s="43" t="s">
        <v>220</v>
      </c>
      <c r="F286" s="43" t="s">
        <v>221</v>
      </c>
      <c r="G286" s="44" t="str">
        <f>IF(LEN(Table12_52_034[[#This Row],[Ledger Code]])&gt;3,"AR"&amp;Table12_52_034[[#This Row],[Ledger Code]],"TBC")</f>
        <v>AR7148</v>
      </c>
      <c r="H286" s="43"/>
      <c r="I286" s="43"/>
      <c r="J286" s="43"/>
      <c r="K286" s="43"/>
      <c r="L286" s="43"/>
      <c r="M286" s="43"/>
      <c r="N286" s="43"/>
      <c r="O286" s="43"/>
      <c r="P286" s="45">
        <v>0</v>
      </c>
      <c r="Q286" s="45">
        <v>3.6</v>
      </c>
      <c r="R286" s="45">
        <v>0</v>
      </c>
      <c r="S286" s="45">
        <v>0</v>
      </c>
      <c r="T286" s="45">
        <v>-3.6</v>
      </c>
      <c r="U286" s="45">
        <v>0</v>
      </c>
      <c r="V286" s="45">
        <v>0</v>
      </c>
      <c r="W286" s="45">
        <v>0</v>
      </c>
    </row>
    <row r="287" spans="1:23" hidden="1" x14ac:dyDescent="0.25">
      <c r="A287" s="43">
        <v>3995</v>
      </c>
      <c r="B287" s="43">
        <v>7124</v>
      </c>
      <c r="C287" s="43" t="s">
        <v>411</v>
      </c>
      <c r="D287" s="43" t="s">
        <v>412</v>
      </c>
      <c r="E287" s="43" t="s">
        <v>220</v>
      </c>
      <c r="F287" s="43" t="s">
        <v>221</v>
      </c>
      <c r="G287" s="44" t="str">
        <f>IF(LEN(Table12_52_034[[#This Row],[Ledger Code]])&gt;3,"AR"&amp;Table12_52_034[[#This Row],[Ledger Code]],"TBC")</f>
        <v>AR7124</v>
      </c>
      <c r="H287" s="43"/>
      <c r="I287" s="43"/>
      <c r="J287" s="43"/>
      <c r="K287" s="43"/>
      <c r="L287" s="43"/>
      <c r="M287" s="43"/>
      <c r="N287" s="43"/>
      <c r="O287" s="43"/>
      <c r="P287" s="45">
        <v>4811.42</v>
      </c>
      <c r="Q287" s="45">
        <v>4083.95</v>
      </c>
      <c r="R287" s="45">
        <v>2590.5499999999993</v>
      </c>
      <c r="S287" s="45">
        <v>4369.0200000000041</v>
      </c>
      <c r="T287" s="45">
        <v>8704.630000000001</v>
      </c>
      <c r="U287" s="45">
        <v>4731.4199999999928</v>
      </c>
      <c r="V287" s="45">
        <v>836.07999999999947</v>
      </c>
      <c r="W287" s="45">
        <v>4932.8700000000026</v>
      </c>
    </row>
    <row r="288" spans="1:23" hidden="1" x14ac:dyDescent="0.25">
      <c r="A288" s="43">
        <v>3934</v>
      </c>
      <c r="B288" s="43">
        <v>7000</v>
      </c>
      <c r="C288" s="43" t="s">
        <v>413</v>
      </c>
      <c r="D288" s="43" t="s">
        <v>414</v>
      </c>
      <c r="E288" s="43" t="s">
        <v>220</v>
      </c>
      <c r="F288" s="43" t="s">
        <v>221</v>
      </c>
      <c r="G288" s="44" t="str">
        <f>IF(LEN(Table12_52_034[[#This Row],[Ledger Code]])&gt;3,"AR"&amp;Table12_52_034[[#This Row],[Ledger Code]],"TBC")</f>
        <v>AR7000</v>
      </c>
      <c r="H288" s="43"/>
      <c r="I288" s="43"/>
      <c r="J288" s="43"/>
      <c r="K288" s="43"/>
      <c r="L288" s="43"/>
      <c r="M288" s="43"/>
      <c r="N288" s="43"/>
      <c r="O288" s="43"/>
      <c r="P288" s="45">
        <v>0</v>
      </c>
      <c r="Q288" s="45">
        <v>0</v>
      </c>
      <c r="R288" s="45">
        <v>0</v>
      </c>
      <c r="S288" s="45">
        <v>2091.3700000000035</v>
      </c>
      <c r="T288" s="45">
        <v>2040.19</v>
      </c>
      <c r="U288" s="45">
        <v>994.1200000000008</v>
      </c>
      <c r="V288" s="45">
        <v>2.1827872842550278E-11</v>
      </c>
      <c r="W288" s="45">
        <v>957.23000000000138</v>
      </c>
    </row>
    <row r="289" spans="1:23" hidden="1" x14ac:dyDescent="0.25">
      <c r="A289" s="43">
        <v>4174</v>
      </c>
      <c r="B289" s="43">
        <v>7054</v>
      </c>
      <c r="C289" s="43" t="s">
        <v>415</v>
      </c>
      <c r="D289" s="43" t="s">
        <v>416</v>
      </c>
      <c r="E289" s="43" t="s">
        <v>220</v>
      </c>
      <c r="F289" s="43" t="s">
        <v>228</v>
      </c>
      <c r="G289" s="44" t="str">
        <f>IF(LEN(Table12_52_034[[#This Row],[Ledger Code]])&gt;3,"AR"&amp;Table12_52_034[[#This Row],[Ledger Code]],"TBC")</f>
        <v>AR7054</v>
      </c>
      <c r="H289" s="43"/>
      <c r="I289" s="43"/>
      <c r="J289" s="43"/>
      <c r="K289" s="43"/>
      <c r="L289" s="43"/>
      <c r="M289" s="43"/>
      <c r="N289" s="43"/>
      <c r="O289" s="43"/>
      <c r="P289" s="45">
        <v>0</v>
      </c>
      <c r="Q289" s="45">
        <v>0</v>
      </c>
      <c r="R289" s="45">
        <v>0</v>
      </c>
      <c r="S289" s="45">
        <v>9312.5600000000013</v>
      </c>
      <c r="T289" s="45">
        <v>2894.1800000000003</v>
      </c>
      <c r="U289" s="45">
        <v>2955.3800000000006</v>
      </c>
      <c r="V289" s="45">
        <v>3266.96</v>
      </c>
      <c r="W289" s="45">
        <v>1241.9799999999998</v>
      </c>
    </row>
    <row r="290" spans="1:23" hidden="1" x14ac:dyDescent="0.25">
      <c r="A290" s="43">
        <v>4231</v>
      </c>
      <c r="B290" s="43">
        <v>7453</v>
      </c>
      <c r="C290" s="43" t="s">
        <v>417</v>
      </c>
      <c r="D290" s="43" t="s">
        <v>418</v>
      </c>
      <c r="E290" s="43" t="s">
        <v>220</v>
      </c>
      <c r="F290" s="43" t="s">
        <v>228</v>
      </c>
      <c r="G290" s="44" t="str">
        <f>IF(LEN(Table12_52_034[[#This Row],[Ledger Code]])&gt;3,"AR"&amp;Table12_52_034[[#This Row],[Ledger Code]],"TBC")</f>
        <v>AR7453</v>
      </c>
      <c r="H290" s="43"/>
      <c r="I290" s="43"/>
      <c r="J290" s="43"/>
      <c r="K290" s="43"/>
      <c r="L290" s="43"/>
      <c r="M290" s="43"/>
      <c r="N290" s="43"/>
      <c r="O290" s="43"/>
      <c r="P290" s="45">
        <v>0</v>
      </c>
      <c r="Q290" s="45">
        <v>0</v>
      </c>
      <c r="R290" s="45">
        <v>0</v>
      </c>
      <c r="S290" s="45">
        <v>0</v>
      </c>
      <c r="T290" s="45">
        <v>0</v>
      </c>
      <c r="U290" s="45">
        <v>0</v>
      </c>
      <c r="V290" s="45">
        <v>0</v>
      </c>
      <c r="W290" s="45">
        <v>0</v>
      </c>
    </row>
    <row r="291" spans="1:23" hidden="1" x14ac:dyDescent="0.25">
      <c r="A291" s="43">
        <v>4209</v>
      </c>
      <c r="B291" s="43">
        <v>7511</v>
      </c>
      <c r="C291" s="43" t="s">
        <v>419</v>
      </c>
      <c r="D291" s="43" t="s">
        <v>420</v>
      </c>
      <c r="E291" s="43" t="s">
        <v>220</v>
      </c>
      <c r="F291" s="43" t="s">
        <v>228</v>
      </c>
      <c r="G291" s="44" t="str">
        <f>IF(LEN(Table12_52_034[[#This Row],[Ledger Code]])&gt;3,"AR"&amp;Table12_52_034[[#This Row],[Ledger Code]],"TBC")</f>
        <v>AR7511</v>
      </c>
      <c r="H291" s="43"/>
      <c r="I291" s="43"/>
      <c r="J291" s="43"/>
      <c r="K291" s="43"/>
      <c r="L291" s="43"/>
      <c r="M291" s="43"/>
      <c r="N291" s="43"/>
      <c r="O291" s="43"/>
      <c r="P291" s="45">
        <v>0</v>
      </c>
      <c r="Q291" s="45">
        <v>0</v>
      </c>
      <c r="R291" s="45">
        <v>0</v>
      </c>
      <c r="S291" s="45">
        <v>0</v>
      </c>
      <c r="T291" s="45">
        <v>0</v>
      </c>
      <c r="U291" s="45">
        <v>0</v>
      </c>
      <c r="V291" s="45">
        <v>0</v>
      </c>
      <c r="W291" s="45">
        <v>0</v>
      </c>
    </row>
    <row r="292" spans="1:23" hidden="1" x14ac:dyDescent="0.25">
      <c r="A292" s="43">
        <v>4665</v>
      </c>
      <c r="B292" s="43">
        <v>7509</v>
      </c>
      <c r="C292" s="43" t="s">
        <v>421</v>
      </c>
      <c r="D292" s="43" t="s">
        <v>422</v>
      </c>
      <c r="E292" s="43" t="s">
        <v>220</v>
      </c>
      <c r="F292" s="43" t="s">
        <v>244</v>
      </c>
      <c r="G292" s="44" t="str">
        <f>IF(LEN(Table12_52_034[[#This Row],[Ledger Code]])&gt;3,"AR"&amp;Table12_52_034[[#This Row],[Ledger Code]],"TBC")</f>
        <v>AR7509</v>
      </c>
      <c r="H292" s="43"/>
      <c r="I292" s="43"/>
      <c r="J292" s="43"/>
      <c r="K292" s="43"/>
      <c r="L292" s="43"/>
      <c r="M292" s="43"/>
      <c r="N292" s="43"/>
      <c r="O292" s="43"/>
      <c r="P292" s="45">
        <v>0</v>
      </c>
      <c r="Q292" s="45">
        <v>-2.2737367544323206E-13</v>
      </c>
      <c r="R292" s="45">
        <v>0</v>
      </c>
      <c r="S292" s="45">
        <v>4719.2199999999993</v>
      </c>
      <c r="T292" s="45">
        <v>1706.8500000000001</v>
      </c>
      <c r="U292" s="45">
        <v>4655.12</v>
      </c>
      <c r="V292" s="45">
        <v>926.34</v>
      </c>
      <c r="W292" s="45">
        <v>746.58</v>
      </c>
    </row>
    <row r="293" spans="1:23" hidden="1" x14ac:dyDescent="0.25">
      <c r="A293" s="43">
        <v>4657</v>
      </c>
      <c r="B293" s="43">
        <v>7825</v>
      </c>
      <c r="C293" s="43" t="s">
        <v>423</v>
      </c>
      <c r="D293" s="43" t="s">
        <v>424</v>
      </c>
      <c r="E293" s="43" t="s">
        <v>220</v>
      </c>
      <c r="F293" s="43" t="s">
        <v>244</v>
      </c>
      <c r="G293" s="44" t="str">
        <f>IF(LEN(Table12_52_034[[#This Row],[Ledger Code]])&gt;3,"AR"&amp;Table12_52_034[[#This Row],[Ledger Code]],"TBC")</f>
        <v>AR7825</v>
      </c>
      <c r="H293" s="43"/>
      <c r="I293" s="43"/>
      <c r="J293" s="43"/>
      <c r="K293" s="43"/>
      <c r="L293" s="43"/>
      <c r="M293" s="43"/>
      <c r="N293" s="43"/>
      <c r="O293" s="43"/>
      <c r="P293" s="45">
        <v>0</v>
      </c>
      <c r="Q293" s="45">
        <v>132</v>
      </c>
      <c r="R293" s="45">
        <v>529.20000000000005</v>
      </c>
      <c r="S293" s="45">
        <v>528</v>
      </c>
      <c r="T293" s="45">
        <v>859.83</v>
      </c>
      <c r="U293" s="45">
        <v>-2.2737367544323206E-13</v>
      </c>
      <c r="V293" s="45">
        <v>0</v>
      </c>
      <c r="W293" s="45">
        <v>1323</v>
      </c>
    </row>
    <row r="294" spans="1:23" hidden="1" x14ac:dyDescent="0.25">
      <c r="A294" s="43">
        <v>5971</v>
      </c>
      <c r="B294" s="43" t="s">
        <v>387</v>
      </c>
      <c r="C294" s="43" t="s">
        <v>425</v>
      </c>
      <c r="D294" s="43" t="s">
        <v>426</v>
      </c>
      <c r="E294" s="43" t="s">
        <v>220</v>
      </c>
      <c r="F294" s="43" t="s">
        <v>244</v>
      </c>
      <c r="G294" s="44" t="str">
        <f>IF(LEN(Table12_52_034[[#This Row],[Ledger Code]])&gt;3,"AR"&amp;Table12_52_034[[#This Row],[Ledger Code]],"TBC")</f>
        <v>TBC</v>
      </c>
      <c r="H294" s="43"/>
      <c r="I294" s="43"/>
      <c r="J294" s="43"/>
      <c r="K294" s="43"/>
      <c r="L294" s="43"/>
      <c r="M294" s="43"/>
      <c r="N294" s="43"/>
      <c r="O294" s="43"/>
      <c r="P294" s="45">
        <v>0</v>
      </c>
      <c r="Q294" s="45">
        <v>0</v>
      </c>
      <c r="R294" s="45">
        <v>0</v>
      </c>
      <c r="S294" s="45">
        <v>0</v>
      </c>
      <c r="T294" s="45">
        <v>0</v>
      </c>
      <c r="U294" s="45">
        <v>0</v>
      </c>
      <c r="V294" s="45">
        <v>0</v>
      </c>
      <c r="W294" s="45">
        <v>0</v>
      </c>
    </row>
    <row r="295" spans="1:23" hidden="1" x14ac:dyDescent="0.25">
      <c r="A295" s="43">
        <v>665</v>
      </c>
      <c r="B295" s="43">
        <v>5286</v>
      </c>
      <c r="C295" s="43" t="s">
        <v>4343</v>
      </c>
      <c r="D295" s="43" t="s">
        <v>4344</v>
      </c>
      <c r="E295" s="43" t="s">
        <v>9</v>
      </c>
      <c r="F295" s="43" t="s">
        <v>10</v>
      </c>
      <c r="G295" s="44" t="str">
        <f>IF(LEN(Table12_52_034[[#This Row],[Ledger Code]])&gt;3,"AR"&amp;Table12_52_034[[#This Row],[Ledger Code]],"TBC")</f>
        <v>AR5286</v>
      </c>
      <c r="H295" s="43"/>
      <c r="I295" s="43"/>
      <c r="J295" s="43"/>
      <c r="K295" s="43"/>
      <c r="L295" s="43"/>
      <c r="M295" s="43"/>
      <c r="N295" s="43"/>
      <c r="O295" s="43"/>
      <c r="P295" s="45">
        <v>0</v>
      </c>
      <c r="Q295" s="45">
        <v>7942.16</v>
      </c>
      <c r="R295" s="45">
        <v>4363.1499999999996</v>
      </c>
      <c r="S295" s="45">
        <v>4564.2799999999988</v>
      </c>
      <c r="T295" s="45">
        <v>2.2737367544323206E-13</v>
      </c>
      <c r="U295" s="45">
        <v>2026.1800000000003</v>
      </c>
      <c r="V295" s="45">
        <v>7534.1399999999994</v>
      </c>
      <c r="W295" s="45">
        <v>0</v>
      </c>
    </row>
    <row r="296" spans="1:23" hidden="1" x14ac:dyDescent="0.25">
      <c r="A296" s="91">
        <v>3564</v>
      </c>
      <c r="B296" s="91">
        <v>6470</v>
      </c>
      <c r="C296" s="91" t="s">
        <v>4345</v>
      </c>
      <c r="D296" s="91" t="s">
        <v>4346</v>
      </c>
      <c r="E296" s="91" t="s">
        <v>9</v>
      </c>
      <c r="F296" s="91" t="s">
        <v>83</v>
      </c>
      <c r="G296" s="93" t="str">
        <f>IF(LEN(Table12_52_034[[#This Row],[Ledger Code]])&gt;3,"AR"&amp;Table12_52_034[[#This Row],[Ledger Code]],"TBC")</f>
        <v>AR6470</v>
      </c>
      <c r="H296" s="91"/>
      <c r="I296" s="91"/>
      <c r="J296" s="91"/>
      <c r="K296" s="91"/>
      <c r="L296" s="91"/>
      <c r="M296" s="91"/>
      <c r="N296" s="91"/>
      <c r="O296" s="91"/>
      <c r="P296" s="92">
        <v>0</v>
      </c>
      <c r="Q296" s="92">
        <v>0</v>
      </c>
      <c r="R296" s="92">
        <v>5.6843418860808015E-14</v>
      </c>
      <c r="S296" s="92">
        <v>306.47000000000003</v>
      </c>
      <c r="T296" s="92">
        <v>-258.48</v>
      </c>
      <c r="U296" s="92">
        <v>0</v>
      </c>
      <c r="V296" s="92">
        <v>493.91999999999996</v>
      </c>
      <c r="W296" s="92">
        <v>0</v>
      </c>
    </row>
    <row r="301" spans="1:23" x14ac:dyDescent="0.25">
      <c r="K301" s="128"/>
    </row>
  </sheetData>
  <mergeCells count="2">
    <mergeCell ref="H1:O1"/>
    <mergeCell ref="P1:W1"/>
  </mergeCell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Document</vt:lpstr>
      <vt:lpstr>Site listing</vt:lpstr>
      <vt:lpstr>'Summary by Property'!Print_Area</vt:lpstr>
    </vt:vector>
  </TitlesOfParts>
  <Company>NHS South West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Ranson Ian (NHS Property Services)</dc:creator>
  <cp:lastModifiedBy>KirstyWaknell</cp:lastModifiedBy>
  <cp:lastPrinted>2015-04-17T14:54:50Z</cp:lastPrinted>
  <dcterms:created xsi:type="dcterms:W3CDTF">2015-03-31T08:46:04Z</dcterms:created>
  <dcterms:modified xsi:type="dcterms:W3CDTF">2016-04-19T12:54:16Z</dcterms:modified>
</cp:coreProperties>
</file>